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510" windowHeight="5835" activeTab="0"/>
  </bookViews>
  <sheets>
    <sheet name="Model &quot;Case A&quot;" sheetId="1" r:id="rId1"/>
    <sheet name="Summary and Graphs &quot;A&quot;" sheetId="2" r:id="rId2"/>
    <sheet name="Model &quot;Case B&quot;" sheetId="3" r:id="rId3"/>
    <sheet name="Summary and Graphs &quot;B&quot;" sheetId="4" r:id="rId4"/>
  </sheets>
  <definedNames/>
  <calcPr fullCalcOnLoad="1"/>
</workbook>
</file>

<file path=xl/sharedStrings.xml><?xml version="1.0" encoding="utf-8"?>
<sst xmlns="http://schemas.openxmlformats.org/spreadsheetml/2006/main" count="413" uniqueCount="61">
  <si>
    <t>Energy Year</t>
  </si>
  <si>
    <t>Month</t>
  </si>
  <si>
    <t>New capacity added in month, KW</t>
  </si>
  <si>
    <t>Total Capacity Operating, KW</t>
  </si>
  <si>
    <t>SRECs generated in month (MWH)</t>
  </si>
  <si>
    <t>SRECs generated in Energy Year</t>
  </si>
  <si>
    <t>SREC Requirement for Energy 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</si>
  <si>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</si>
  <si>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</si>
  <si>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</si>
  <si>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</si>
  <si>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</si>
  <si>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</si>
  <si>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</si>
  <si>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</si>
  <si>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</si>
  <si>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</si>
  <si>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EY 2012</t>
  </si>
  <si>
    <t>Nov</t>
  </si>
  <si>
    <t>Dec</t>
  </si>
  <si>
    <t>EY 2013</t>
  </si>
  <si>
    <t>EY 2014</t>
  </si>
  <si>
    <t>EY 2015</t>
  </si>
  <si>
    <t>EY 2016</t>
  </si>
  <si>
    <t>EY 2017</t>
  </si>
  <si>
    <t>EY 2018</t>
  </si>
  <si>
    <t>EY 2019</t>
  </si>
  <si>
    <t>EY 2020</t>
  </si>
  <si>
    <t>copyright 4-6-12 Lyle Rawlings</t>
  </si>
  <si>
    <t>Mid-Atlantic Solar Energy Industries Association</t>
  </si>
  <si>
    <t>Rev date</t>
  </si>
  <si>
    <t>RPS,
 % of Sales</t>
  </si>
  <si>
    <t>RPS, 
GWH</t>
  </si>
  <si>
    <t>NA</t>
  </si>
  <si>
    <r>
      <t>Retail Sales</t>
    </r>
    <r>
      <rPr>
        <b/>
        <vertAlign val="superscript"/>
        <sz val="10"/>
        <color indexed="8"/>
        <rFont val="Arial"/>
        <family val="2"/>
      </rPr>
      <t>1,2</t>
    </r>
  </si>
  <si>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Escalator = CEEP average excalator,</t>
    </r>
  </si>
  <si>
    <t>If desired, the monthly build rate for the full energy year may be filled in by placing a value only in the dark yellow-shaded cell for that energy year.</t>
  </si>
  <si>
    <t>SUPPLY VS. DEMAND CALCULATIONS</t>
  </si>
  <si>
    <r>
      <rPr>
        <b/>
        <u val="single"/>
        <sz val="12"/>
        <color indexed="10"/>
        <rFont val="Arial"/>
        <family val="2"/>
      </rPr>
      <t>Please place user input only in cells shaded yellow</t>
    </r>
    <r>
      <rPr>
        <b/>
        <sz val="12"/>
        <color indexed="10"/>
        <rFont val="Arial"/>
        <family val="2"/>
      </rPr>
      <t>.  Key outputs are in cells shaded blue.</t>
    </r>
  </si>
  <si>
    <t>NJ SREC Supply vs. Demand Calculations by Month Based on User Input</t>
  </si>
  <si>
    <r>
      <t xml:space="preserve">Monthly Production Rate, </t>
    </r>
    <r>
      <rPr>
        <b/>
        <sz val="8"/>
        <color indexed="8"/>
        <rFont val="Arial"/>
        <family val="2"/>
      </rPr>
      <t>KWH/KWdc/Mo</t>
    </r>
  </si>
  <si>
    <r>
      <t xml:space="preserve">Yearly Production Rate, </t>
    </r>
    <r>
      <rPr>
        <b/>
        <sz val="8"/>
        <color indexed="8"/>
        <rFont val="Arial"/>
        <family val="2"/>
      </rPr>
      <t>KWH/KWdc/yr</t>
    </r>
  </si>
  <si>
    <t>SREC REQUIREMENTS FROM S1925/A2966</t>
  </si>
  <si>
    <r>
      <rPr>
        <vertAlign val="superscript"/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 xml:space="preserve"> Base = 2012 Estimated Sales per R. Jackson</t>
    </r>
  </si>
  <si>
    <t>EY 2022</t>
  </si>
  <si>
    <t>EY 2023</t>
  </si>
  <si>
    <t>EY 2024</t>
  </si>
  <si>
    <t>SREC Carryover</t>
  </si>
  <si>
    <t>SREC Carryover from last period</t>
  </si>
  <si>
    <t>Total SRECs Available</t>
  </si>
  <si>
    <t>SREC excess (deficit) generated in current year</t>
  </si>
  <si>
    <t>Total SRECs Available as % of RPS</t>
  </si>
  <si>
    <t>SACPs Paid</t>
  </si>
  <si>
    <t>SREC Carryover to next Period</t>
  </si>
  <si>
    <t>EY 2021</t>
  </si>
  <si>
    <t>RPS Requirement, SRECs</t>
  </si>
  <si>
    <t>SRECs Generated</t>
  </si>
  <si>
    <t>Capacity Added, MW</t>
  </si>
  <si>
    <t>SUMMARY DATA FROM MODEL "CASE A"</t>
  </si>
  <si>
    <t>SUMMARY DATA FROM MODEL "CASE B"</t>
  </si>
  <si>
    <t>SRECs Short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</si>
</sst>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_(* #,##0.0_);_(* \(#,##0.0\);_(* &quot;-&quot;??_);_(@_)"/>
    <numFmt numFmtId="168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2"/>
      <name val="Calibri"/>
      <family val="2"/>
    </font>
    <font>
      <b/>
      <sz val="14"/>
      <color indexed="12"/>
      <name val="Arial"/>
      <family val="2"/>
    </font>
    <font>
      <b/>
      <u val="single"/>
      <sz val="12"/>
      <color indexed="10"/>
      <name val="Arial"/>
      <family val="2"/>
    </font>
    <font>
      <b/>
      <sz val="16"/>
      <color indexed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sz val="10"/>
      <color indexed="49"/>
      <name val="Calibri"/>
      <family val="0"/>
    </font>
    <font>
      <sz val="10"/>
      <color indexed="60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000099"/>
      <name val="Arial"/>
      <family val="2"/>
    </font>
    <font>
      <b/>
      <sz val="12"/>
      <color rgb="FFFF0000"/>
      <name val="Arial"/>
      <family val="2"/>
    </font>
    <font>
      <b/>
      <sz val="12"/>
      <color rgb="FF0000FF"/>
      <name val="Arial"/>
      <family val="2"/>
    </font>
    <font>
      <b/>
      <sz val="12"/>
      <color rgb="FF0000FF"/>
      <name val="Calibri"/>
      <family val="2"/>
    </font>
    <font>
      <b/>
      <sz val="14"/>
      <color rgb="FF0000FF"/>
      <name val="Arial"/>
      <family val="2"/>
    </font>
    <font>
      <b/>
      <sz val="16"/>
      <color rgb="FF0000FF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7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58" fillId="0" borderId="0" xfId="0" applyFont="1" applyAlignment="1">
      <alignment/>
    </xf>
    <xf numFmtId="164" fontId="3" fillId="0" borderId="0" xfId="42" applyNumberFormat="1" applyFont="1" applyFill="1" applyBorder="1" applyAlignment="1">
      <alignment horizontal="right"/>
    </xf>
    <xf numFmtId="0" fontId="58" fillId="0" borderId="10" xfId="0" applyFont="1" applyBorder="1" applyAlignment="1">
      <alignment/>
    </xf>
    <xf numFmtId="0" fontId="58" fillId="0" borderId="11" xfId="0" applyFont="1" applyBorder="1" applyAlignment="1">
      <alignment/>
    </xf>
    <xf numFmtId="0" fontId="58" fillId="0" borderId="12" xfId="0" applyFont="1" applyBorder="1" applyAlignment="1">
      <alignment/>
    </xf>
    <xf numFmtId="0" fontId="58" fillId="0" borderId="13" xfId="0" applyFont="1" applyBorder="1" applyAlignment="1">
      <alignment/>
    </xf>
    <xf numFmtId="0" fontId="58" fillId="0" borderId="14" xfId="0" applyFont="1" applyBorder="1" applyAlignment="1">
      <alignment/>
    </xf>
    <xf numFmtId="0" fontId="59" fillId="0" borderId="14" xfId="0" applyFont="1" applyBorder="1" applyAlignment="1">
      <alignment/>
    </xf>
    <xf numFmtId="0" fontId="58" fillId="0" borderId="15" xfId="0" applyFont="1" applyBorder="1" applyAlignment="1">
      <alignment/>
    </xf>
    <xf numFmtId="14" fontId="58" fillId="0" borderId="0" xfId="0" applyNumberFormat="1" applyFont="1" applyAlignment="1">
      <alignment/>
    </xf>
    <xf numFmtId="0" fontId="58" fillId="0" borderId="0" xfId="0" applyFont="1" applyAlignment="1" quotePrefix="1">
      <alignment/>
    </xf>
    <xf numFmtId="0" fontId="60" fillId="0" borderId="0" xfId="0" applyFont="1" applyAlignment="1">
      <alignment/>
    </xf>
    <xf numFmtId="0" fontId="59" fillId="0" borderId="16" xfId="0" applyFont="1" applyBorder="1" applyAlignment="1">
      <alignment/>
    </xf>
    <xf numFmtId="0" fontId="59" fillId="0" borderId="16" xfId="0" applyFont="1" applyBorder="1" applyAlignment="1">
      <alignment wrapText="1"/>
    </xf>
    <xf numFmtId="0" fontId="59" fillId="0" borderId="16" xfId="0" applyFont="1" applyBorder="1" applyAlignment="1">
      <alignment horizontal="center" wrapText="1"/>
    </xf>
    <xf numFmtId="0" fontId="61" fillId="0" borderId="16" xfId="0" applyFont="1" applyBorder="1" applyAlignment="1">
      <alignment/>
    </xf>
    <xf numFmtId="164" fontId="61" fillId="0" borderId="16" xfId="42" applyNumberFormat="1" applyFont="1" applyBorder="1" applyAlignment="1">
      <alignment/>
    </xf>
    <xf numFmtId="166" fontId="61" fillId="0" borderId="16" xfId="59" applyNumberFormat="1" applyFont="1" applyBorder="1" applyAlignment="1">
      <alignment horizontal="right"/>
    </xf>
    <xf numFmtId="164" fontId="3" fillId="0" borderId="17" xfId="42" applyNumberFormat="1" applyFont="1" applyFill="1" applyBorder="1" applyAlignment="1">
      <alignment horizontal="right"/>
    </xf>
    <xf numFmtId="164" fontId="58" fillId="0" borderId="17" xfId="0" applyNumberFormat="1" applyFont="1" applyBorder="1" applyAlignment="1">
      <alignment/>
    </xf>
    <xf numFmtId="164" fontId="58" fillId="0" borderId="0" xfId="0" applyNumberFormat="1" applyFont="1" applyBorder="1" applyAlignment="1">
      <alignment/>
    </xf>
    <xf numFmtId="0" fontId="58" fillId="0" borderId="0" xfId="0" applyFont="1" applyBorder="1" applyAlignment="1">
      <alignment/>
    </xf>
    <xf numFmtId="164" fontId="3" fillId="0" borderId="18" xfId="42" applyNumberFormat="1" applyFont="1" applyFill="1" applyBorder="1" applyAlignment="1">
      <alignment horizontal="right"/>
    </xf>
    <xf numFmtId="164" fontId="58" fillId="0" borderId="18" xfId="0" applyNumberFormat="1" applyFont="1" applyBorder="1" applyAlignment="1">
      <alignment/>
    </xf>
    <xf numFmtId="0" fontId="58" fillId="0" borderId="17" xfId="0" applyFont="1" applyBorder="1" applyAlignment="1">
      <alignment/>
    </xf>
    <xf numFmtId="165" fontId="58" fillId="0" borderId="0" xfId="59" applyNumberFormat="1" applyFont="1" applyBorder="1" applyAlignment="1">
      <alignment/>
    </xf>
    <xf numFmtId="0" fontId="62" fillId="0" borderId="0" xfId="0" applyFont="1" applyBorder="1" applyAlignment="1">
      <alignment/>
    </xf>
    <xf numFmtId="164" fontId="59" fillId="0" borderId="18" xfId="0" applyNumberFormat="1" applyFont="1" applyFill="1" applyBorder="1" applyAlignment="1">
      <alignment/>
    </xf>
    <xf numFmtId="0" fontId="63" fillId="0" borderId="16" xfId="0" applyFont="1" applyBorder="1" applyAlignment="1">
      <alignment wrapText="1"/>
    </xf>
    <xf numFmtId="0" fontId="61" fillId="0" borderId="16" xfId="0" applyFont="1" applyBorder="1" applyAlignment="1">
      <alignment horizontal="right" wrapText="1"/>
    </xf>
    <xf numFmtId="167" fontId="61" fillId="0" borderId="16" xfId="42" applyNumberFormat="1" applyFont="1" applyBorder="1" applyAlignment="1">
      <alignment horizontal="right"/>
    </xf>
    <xf numFmtId="14" fontId="0" fillId="0" borderId="0" xfId="0" applyNumberFormat="1" applyAlignment="1">
      <alignment/>
    </xf>
    <xf numFmtId="0" fontId="61" fillId="0" borderId="0" xfId="0" applyFont="1" applyBorder="1" applyAlignment="1">
      <alignment/>
    </xf>
    <xf numFmtId="166" fontId="61" fillId="0" borderId="0" xfId="59" applyNumberFormat="1" applyFont="1" applyBorder="1" applyAlignment="1">
      <alignment/>
    </xf>
    <xf numFmtId="164" fontId="61" fillId="0" borderId="0" xfId="42" applyNumberFormat="1" applyFont="1" applyBorder="1" applyAlignment="1">
      <alignment/>
    </xf>
    <xf numFmtId="167" fontId="61" fillId="0" borderId="0" xfId="42" applyNumberFormat="1" applyFont="1" applyBorder="1" applyAlignment="1">
      <alignment horizontal="right"/>
    </xf>
    <xf numFmtId="166" fontId="61" fillId="0" borderId="16" xfId="59" applyNumberFormat="1" applyFont="1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Alignment="1" quotePrefix="1">
      <alignment/>
    </xf>
    <xf numFmtId="0" fontId="67" fillId="0" borderId="0" xfId="0" applyFont="1" applyAlignment="1">
      <alignment/>
    </xf>
    <xf numFmtId="10" fontId="61" fillId="33" borderId="16" xfId="59" applyNumberFormat="1" applyFont="1" applyFill="1" applyBorder="1" applyAlignment="1">
      <alignment horizontal="right"/>
    </xf>
    <xf numFmtId="0" fontId="68" fillId="0" borderId="0" xfId="0" applyFont="1" applyAlignment="1">
      <alignment/>
    </xf>
    <xf numFmtId="168" fontId="58" fillId="0" borderId="19" xfId="0" applyNumberFormat="1" applyFont="1" applyBorder="1" applyAlignment="1">
      <alignment/>
    </xf>
    <xf numFmtId="168" fontId="58" fillId="0" borderId="20" xfId="0" applyNumberFormat="1" applyFont="1" applyBorder="1" applyAlignment="1">
      <alignment/>
    </xf>
    <xf numFmtId="168" fontId="58" fillId="0" borderId="21" xfId="0" applyNumberFormat="1" applyFont="1" applyBorder="1" applyAlignment="1">
      <alignment/>
    </xf>
    <xf numFmtId="0" fontId="58" fillId="0" borderId="18" xfId="0" applyFont="1" applyBorder="1" applyAlignment="1">
      <alignment/>
    </xf>
    <xf numFmtId="0" fontId="58" fillId="33" borderId="16" xfId="0" applyFont="1" applyFill="1" applyBorder="1" applyAlignment="1">
      <alignment/>
    </xf>
    <xf numFmtId="14" fontId="0" fillId="0" borderId="0" xfId="0" applyNumberFormat="1" applyAlignment="1" quotePrefix="1">
      <alignment/>
    </xf>
    <xf numFmtId="0" fontId="59" fillId="0" borderId="13" xfId="0" applyFont="1" applyBorder="1" applyAlignment="1">
      <alignment wrapText="1"/>
    </xf>
    <xf numFmtId="168" fontId="0" fillId="0" borderId="0" xfId="0" applyNumberFormat="1" applyAlignment="1">
      <alignment/>
    </xf>
    <xf numFmtId="0" fontId="63" fillId="0" borderId="22" xfId="0" applyFont="1" applyBorder="1" applyAlignment="1">
      <alignment wrapText="1"/>
    </xf>
    <xf numFmtId="165" fontId="59" fillId="8" borderId="18" xfId="59" applyNumberFormat="1" applyFont="1" applyFill="1" applyBorder="1" applyAlignment="1">
      <alignment/>
    </xf>
    <xf numFmtId="0" fontId="0" fillId="0" borderId="0" xfId="0" applyBorder="1" applyAlignment="1">
      <alignment/>
    </xf>
    <xf numFmtId="0" fontId="59" fillId="0" borderId="16" xfId="0" applyFont="1" applyFill="1" applyBorder="1" applyAlignment="1">
      <alignment wrapText="1"/>
    </xf>
    <xf numFmtId="3" fontId="0" fillId="0" borderId="17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2" xfId="0" applyNumberFormat="1" applyBorder="1" applyAlignment="1">
      <alignment/>
    </xf>
    <xf numFmtId="164" fontId="0" fillId="0" borderId="0" xfId="0" applyNumberFormat="1" applyAlignment="1">
      <alignment/>
    </xf>
    <xf numFmtId="3" fontId="18" fillId="0" borderId="17" xfId="42" applyNumberFormat="1" applyFont="1" applyFill="1" applyBorder="1" applyAlignment="1">
      <alignment/>
    </xf>
    <xf numFmtId="3" fontId="18" fillId="0" borderId="0" xfId="42" applyNumberFormat="1" applyFont="1" applyFill="1" applyBorder="1" applyAlignment="1">
      <alignment/>
    </xf>
    <xf numFmtId="3" fontId="18" fillId="0" borderId="18" xfId="42" applyNumberFormat="1" applyFont="1" applyFill="1" applyBorder="1" applyAlignment="1">
      <alignment/>
    </xf>
    <xf numFmtId="3" fontId="58" fillId="0" borderId="0" xfId="42" applyNumberFormat="1" applyFont="1" applyFill="1" applyBorder="1" applyAlignment="1">
      <alignment/>
    </xf>
    <xf numFmtId="3" fontId="58" fillId="34" borderId="0" xfId="42" applyNumberFormat="1" applyFont="1" applyFill="1" applyBorder="1" applyAlignment="1">
      <alignment/>
    </xf>
    <xf numFmtId="3" fontId="58" fillId="33" borderId="0" xfId="42" applyNumberFormat="1" applyFont="1" applyFill="1" applyBorder="1" applyAlignment="1">
      <alignment/>
    </xf>
    <xf numFmtId="3" fontId="58" fillId="35" borderId="17" xfId="42" applyNumberFormat="1" applyFont="1" applyFill="1" applyBorder="1" applyAlignment="1">
      <alignment/>
    </xf>
    <xf numFmtId="3" fontId="58" fillId="33" borderId="18" xfId="42" applyNumberFormat="1" applyFont="1" applyFill="1" applyBorder="1" applyAlignment="1">
      <alignment/>
    </xf>
    <xf numFmtId="3" fontId="0" fillId="0" borderId="0" xfId="42" applyNumberFormat="1" applyFont="1" applyAlignment="1">
      <alignment/>
    </xf>
    <xf numFmtId="3" fontId="58" fillId="0" borderId="0" xfId="0" applyNumberFormat="1" applyFont="1" applyBorder="1" applyAlignment="1">
      <alignment/>
    </xf>
    <xf numFmtId="3" fontId="59" fillId="0" borderId="18" xfId="0" applyNumberFormat="1" applyFont="1" applyFill="1" applyBorder="1" applyAlignment="1">
      <alignment/>
    </xf>
    <xf numFmtId="3" fontId="58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0" fontId="58" fillId="0" borderId="17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17" xfId="42" applyNumberFormat="1" applyFont="1" applyBorder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3" fontId="58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58" fillId="0" borderId="17" xfId="42" applyNumberFormat="1" applyFont="1" applyFill="1" applyBorder="1" applyAlignment="1">
      <alignment/>
    </xf>
    <xf numFmtId="14" fontId="69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MSEIA Model of NJ SREC Supply &amp; Demand "Case A"</a:t>
            </a:r>
          </a:p>
        </c:rich>
      </c:tx>
      <c:layout>
        <c:manualLayout>
          <c:xMode val="factor"/>
          <c:yMode val="factor"/>
          <c:x val="-0.066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-0.00575"/>
          <c:w val="0.73125"/>
          <c:h val="0.937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'Summary and Graphs "A"'!$D$6</c:f>
              <c:strCache>
                <c:ptCount val="1"/>
                <c:pt idx="0">
                  <c:v>SRECs Generated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and Graphs "A"'!$A$7:$A$19</c:f>
              <c:numCache/>
            </c:numRef>
          </c:cat>
          <c:val>
            <c:numRef>
              <c:f>'Summary and Graphs "A"'!$D$7:$D$19</c:f>
              <c:numCache/>
            </c:numRef>
          </c:val>
        </c:ser>
        <c:ser>
          <c:idx val="3"/>
          <c:order val="3"/>
          <c:tx>
            <c:strRef>
              <c:f>'Summary and Graphs "A"'!$E$6</c:f>
              <c:strCache>
                <c:ptCount val="1"/>
                <c:pt idx="0">
                  <c:v>SREC Carryover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and Graphs "A"'!$A$7:$A$19</c:f>
              <c:numCache/>
            </c:numRef>
          </c:cat>
          <c:val>
            <c:numRef>
              <c:f>'Summary and Graphs "A"'!$E$7:$E$19</c:f>
              <c:numCache/>
            </c:numRef>
          </c:val>
        </c:ser>
        <c:overlap val="100"/>
        <c:axId val="60454432"/>
        <c:axId val="7218977"/>
      </c:barChart>
      <c:lineChart>
        <c:grouping val="standard"/>
        <c:varyColors val="0"/>
        <c:ser>
          <c:idx val="1"/>
          <c:order val="1"/>
          <c:tx>
            <c:strRef>
              <c:f>'Summary and Graphs "A"'!$C$6</c:f>
              <c:strCache>
                <c:ptCount val="1"/>
                <c:pt idx="0">
                  <c:v>RPS Requirement, SRECs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'Summary and Graphs "A"'!$C$7:$C$19</c:f>
              <c:numCache/>
            </c:numRef>
          </c:val>
          <c:smooth val="0"/>
        </c:ser>
        <c:axId val="60454432"/>
        <c:axId val="7218977"/>
      </c:lineChart>
      <c:lineChart>
        <c:grouping val="standard"/>
        <c:varyColors val="0"/>
        <c:ser>
          <c:idx val="0"/>
          <c:order val="0"/>
          <c:tx>
            <c:strRef>
              <c:f>'Summary and Graphs "A"'!$B$6</c:f>
              <c:strCache>
                <c:ptCount val="1"/>
                <c:pt idx="0">
                  <c:v>Capacity Added, MW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'Summary and Graphs "A"'!$B$7:$B$19</c:f>
              <c:numCache/>
            </c:numRef>
          </c:val>
          <c:smooth val="0"/>
        </c:ser>
        <c:axId val="64970794"/>
        <c:axId val="47866235"/>
      </c:lineChart>
      <c:catAx>
        <c:axId val="60454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Energy 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18977"/>
        <c:crosses val="autoZero"/>
        <c:auto val="1"/>
        <c:lblOffset val="100"/>
        <c:tickLblSkip val="1"/>
        <c:noMultiLvlLbl val="0"/>
      </c:catAx>
      <c:valAx>
        <c:axId val="7218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SRECs Per Year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54432"/>
        <c:crossesAt val="1"/>
        <c:crossBetween val="between"/>
        <c:dispUnits/>
      </c:valAx>
      <c:catAx>
        <c:axId val="64970794"/>
        <c:scaling>
          <c:orientation val="minMax"/>
        </c:scaling>
        <c:axPos val="b"/>
        <c:delete val="1"/>
        <c:majorTickMark val="out"/>
        <c:minorTickMark val="none"/>
        <c:tickLblPos val="nextTo"/>
        <c:crossAx val="47866235"/>
        <c:crosses val="autoZero"/>
        <c:auto val="1"/>
        <c:lblOffset val="100"/>
        <c:tickLblSkip val="1"/>
        <c:noMultiLvlLbl val="0"/>
      </c:catAx>
      <c:valAx>
        <c:axId val="47866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Solar Capacity Added in Year, MW
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7079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5"/>
          <c:y val="0.378"/>
          <c:w val="0.17725"/>
          <c:h val="0.23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MSEIA Model of NJ SREC Supply &amp; Demand "Case B"</a:t>
            </a:r>
          </a:p>
        </c:rich>
      </c:tx>
      <c:layout>
        <c:manualLayout>
          <c:xMode val="factor"/>
          <c:yMode val="factor"/>
          <c:x val="-0.06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-0.006"/>
          <c:w val="0.73025"/>
          <c:h val="0.9347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'Summary and Graphs "B"'!$D$6</c:f>
              <c:strCache>
                <c:ptCount val="1"/>
                <c:pt idx="0">
                  <c:v>SRECs Generated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and Graphs "B"'!$A$7:$A$19</c:f>
              <c:numCache/>
            </c:numRef>
          </c:cat>
          <c:val>
            <c:numRef>
              <c:f>'Summary and Graphs "B"'!$D$7:$D$19</c:f>
              <c:numCache/>
            </c:numRef>
          </c:val>
        </c:ser>
        <c:ser>
          <c:idx val="3"/>
          <c:order val="3"/>
          <c:tx>
            <c:strRef>
              <c:f>'Summary and Graphs "B"'!$E$6</c:f>
              <c:strCache>
                <c:ptCount val="1"/>
                <c:pt idx="0">
                  <c:v>SREC Carryover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and Graphs "B"'!$A$7:$A$19</c:f>
              <c:numCache/>
            </c:numRef>
          </c:cat>
          <c:val>
            <c:numRef>
              <c:f>'Summary and Graphs "B"'!$E$7:$E$19</c:f>
              <c:numCache/>
            </c:numRef>
          </c:val>
        </c:ser>
        <c:overlap val="100"/>
        <c:axId val="28142932"/>
        <c:axId val="51959797"/>
      </c:barChart>
      <c:lineChart>
        <c:grouping val="standard"/>
        <c:varyColors val="0"/>
        <c:ser>
          <c:idx val="1"/>
          <c:order val="1"/>
          <c:tx>
            <c:strRef>
              <c:f>'Summary and Graphs "B"'!$C$6</c:f>
              <c:strCache>
                <c:ptCount val="1"/>
                <c:pt idx="0">
                  <c:v>RPS Requirement, SRECs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'Summary and Graphs "B"'!$C$7:$C$19</c:f>
              <c:numCache/>
            </c:numRef>
          </c:val>
          <c:smooth val="0"/>
        </c:ser>
        <c:axId val="28142932"/>
        <c:axId val="51959797"/>
      </c:lineChart>
      <c:lineChart>
        <c:grouping val="standard"/>
        <c:varyColors val="0"/>
        <c:ser>
          <c:idx val="0"/>
          <c:order val="0"/>
          <c:tx>
            <c:strRef>
              <c:f>'Summary and Graphs "B"'!$B$6</c:f>
              <c:strCache>
                <c:ptCount val="1"/>
                <c:pt idx="0">
                  <c:v>Capacity Added, MW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'Summary and Graphs "B"'!$B$7:$B$19</c:f>
              <c:numCache/>
            </c:numRef>
          </c:val>
          <c:smooth val="0"/>
        </c:ser>
        <c:axId val="64984990"/>
        <c:axId val="47993999"/>
      </c:lineChart>
      <c:catAx>
        <c:axId val="28142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Energy Year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59797"/>
        <c:crosses val="autoZero"/>
        <c:auto val="1"/>
        <c:lblOffset val="100"/>
        <c:tickLblSkip val="1"/>
        <c:noMultiLvlLbl val="0"/>
      </c:catAx>
      <c:valAx>
        <c:axId val="51959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SRECs Per Year</a:t>
                </a:r>
              </a:p>
            </c:rich>
          </c:tx>
          <c:layout>
            <c:manualLayout>
              <c:xMode val="factor"/>
              <c:yMode val="factor"/>
              <c:x val="-0.01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42932"/>
        <c:crossesAt val="1"/>
        <c:crossBetween val="between"/>
        <c:dispUnits/>
      </c:valAx>
      <c:catAx>
        <c:axId val="64984990"/>
        <c:scaling>
          <c:orientation val="minMax"/>
        </c:scaling>
        <c:axPos val="b"/>
        <c:delete val="1"/>
        <c:majorTickMark val="out"/>
        <c:minorTickMark val="none"/>
        <c:tickLblPos val="nextTo"/>
        <c:crossAx val="47993999"/>
        <c:crosses val="autoZero"/>
        <c:auto val="1"/>
        <c:lblOffset val="100"/>
        <c:tickLblSkip val="1"/>
        <c:noMultiLvlLbl val="0"/>
      </c:catAx>
      <c:valAx>
        <c:axId val="47993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Solar Capacity Added in Year, MW
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8499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"/>
          <c:y val="0.37575"/>
          <c:w val="0.17775"/>
          <c:h val="0.24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175"/>
          <c:y val="0.099"/>
          <c:w val="0.828"/>
          <c:h val="0.90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'Summary and Graphs "B"'!$E$6</c:f>
              <c:strCache>
                <c:ptCount val="1"/>
                <c:pt idx="0">
                  <c:v>SREC Carryover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'Summary and Graphs "B"'!$A$7:$A$19</c:f>
              <c:numCache/>
            </c:numRef>
          </c:xVal>
          <c:yVal>
            <c:numRef>
              <c:f>'Summary and Graphs "B"'!$E$7:$E$19</c:f>
              <c:numCache/>
            </c:numRef>
          </c:yVal>
          <c:smooth val="0"/>
        </c:ser>
        <c:axId val="29292808"/>
        <c:axId val="62308681"/>
      </c:scatterChart>
      <c:valAx>
        <c:axId val="29292808"/>
        <c:scaling>
          <c:orientation val="minMax"/>
          <c:max val="2024"/>
          <c:min val="201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08681"/>
        <c:crosses val="autoZero"/>
        <c:crossBetween val="midCat"/>
        <c:dispUnits/>
        <c:majorUnit val="1"/>
      </c:valAx>
      <c:valAx>
        <c:axId val="623086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9280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5"/>
          <c:y val="0.5185"/>
          <c:w val="0.14825"/>
          <c:h val="0.05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0.1455</cdr:x>
      <cdr:y>0.157</cdr:y>
    </cdr:from>
    <cdr:to>
      <cdr:x>0.18625</cdr:x>
      <cdr:y>0.157</cdr:y>
    </cdr:to>
    <cdr:sp>
      <cdr:nvSpPr>
        <cdr:cNvPr id="1" name="Straight Arrow Connector 6"/>
        <cdr:cNvSpPr>
          <a:spLocks/>
        </cdr:cNvSpPr>
      </cdr:nvSpPr>
      <cdr:spPr>
        <a:xfrm>
          <a:off x="1352550" y="619125"/>
          <a:ext cx="38100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0.45825</cdr:x>
      <cdr:y>0.247</cdr:y>
    </cdr:from>
    <cdr:to>
      <cdr:x>0.4995</cdr:x>
      <cdr:y>0.247</cdr:y>
    </cdr:to>
    <cdr:sp>
      <cdr:nvSpPr>
        <cdr:cNvPr id="2" name="Straight Arrow Connector 7"/>
        <cdr:cNvSpPr>
          <a:spLocks/>
        </cdr:cNvSpPr>
      </cdr:nvSpPr>
      <cdr:spPr>
        <a:xfrm flipH="1">
          <a:off x="4267200" y="981075"/>
          <a:ext cx="381000" cy="0"/>
        </a:xfrm>
        <a:prstGeom prst="straightConnector1">
          <a:avLst/>
        </a:prstGeom>
        <a:noFill/>
        <a:ln w="19050" cmpd="sng">
          <a:solidFill>
            <a:srgbClr val="C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0.14175</cdr:x>
      <cdr:y>0.1645</cdr:y>
    </cdr:from>
    <cdr:to>
      <cdr:x>0.26175</cdr:x>
      <cdr:y>0.26875</cdr:y>
    </cdr:to>
    <cdr:sp>
      <cdr:nvSpPr>
        <cdr:cNvPr id="3" name="TextBox 16"/>
        <cdr:cNvSpPr txBox="1">
          <a:spLocks noChangeArrowheads="1"/>
        </cdr:cNvSpPr>
      </cdr:nvSpPr>
      <cdr:spPr>
        <a:xfrm>
          <a:off x="1314450" y="647700"/>
          <a:ext cx="11144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Solar capy. added</a:t>
          </a:r>
          <a:r>
            <a:rPr lang="en-US" cap="none" sz="10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read right</a:t>
          </a:r>
        </a:p>
      </cdr:txBody>
    </cdr:sp>
  </cdr:relSizeAnchor>
  <cdr:relSizeAnchor xmlns:cdr="http://schemas.openxmlformats.org/drawingml/2006/chartDrawing">
    <cdr:from>
      <cdr:x>0.42125</cdr:x>
      <cdr:y>0.142</cdr:y>
    </cdr:from>
    <cdr:to>
      <cdr:x>0.53975</cdr:x>
      <cdr:y>0.24625</cdr:y>
    </cdr:to>
    <cdr:sp>
      <cdr:nvSpPr>
        <cdr:cNvPr id="4" name="TextBox 17"/>
        <cdr:cNvSpPr txBox="1">
          <a:spLocks noChangeArrowheads="1"/>
        </cdr:cNvSpPr>
      </cdr:nvSpPr>
      <cdr:spPr>
        <a:xfrm>
          <a:off x="3924300" y="561975"/>
          <a:ext cx="11049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RPS Requirement
</a:t>
          </a:r>
          <a:r>
            <a:rPr lang="en-US" cap="none" sz="10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read left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21</xdr:row>
      <xdr:rowOff>9525</xdr:rowOff>
    </xdr:from>
    <xdr:to>
      <xdr:col>14</xdr:col>
      <xdr:colOff>161925</xdr:colOff>
      <xdr:row>41</xdr:row>
      <xdr:rowOff>190500</xdr:rowOff>
    </xdr:to>
    <xdr:graphicFrame>
      <xdr:nvGraphicFramePr>
        <xdr:cNvPr id="1" name="Chart 4"/>
        <xdr:cNvGraphicFramePr/>
      </xdr:nvGraphicFramePr>
      <xdr:xfrm>
        <a:off x="219075" y="4362450"/>
        <a:ext cx="93249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20</xdr:row>
      <xdr:rowOff>76200</xdr:rowOff>
    </xdr:from>
    <xdr:to>
      <xdr:col>13</xdr:col>
      <xdr:colOff>600075</xdr:colOff>
      <xdr:row>40</xdr:row>
      <xdr:rowOff>114300</xdr:rowOff>
    </xdr:to>
    <xdr:graphicFrame>
      <xdr:nvGraphicFramePr>
        <xdr:cNvPr id="1" name="Chart 1"/>
        <xdr:cNvGraphicFramePr/>
      </xdr:nvGraphicFramePr>
      <xdr:xfrm>
        <a:off x="76200" y="4238625"/>
        <a:ext cx="92964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41</xdr:row>
      <xdr:rowOff>0</xdr:rowOff>
    </xdr:from>
    <xdr:to>
      <xdr:col>12</xdr:col>
      <xdr:colOff>228600</xdr:colOff>
      <xdr:row>61</xdr:row>
      <xdr:rowOff>114300</xdr:rowOff>
    </xdr:to>
    <xdr:graphicFrame>
      <xdr:nvGraphicFramePr>
        <xdr:cNvPr id="2" name="Chart 2"/>
        <xdr:cNvGraphicFramePr/>
      </xdr:nvGraphicFramePr>
      <xdr:xfrm>
        <a:off x="409575" y="8162925"/>
        <a:ext cx="798195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28575</xdr:colOff>
      <xdr:row>23</xdr:row>
      <xdr:rowOff>123825</xdr:rowOff>
    </xdr:from>
    <xdr:to>
      <xdr:col>2</xdr:col>
      <xdr:colOff>400050</xdr:colOff>
      <xdr:row>23</xdr:row>
      <xdr:rowOff>123825</xdr:rowOff>
    </xdr:to>
    <xdr:sp>
      <xdr:nvSpPr>
        <xdr:cNvPr id="3" name="Straight Arrow Connector 4"/>
        <xdr:cNvSpPr>
          <a:spLocks/>
        </xdr:cNvSpPr>
      </xdr:nvSpPr>
      <xdr:spPr>
        <a:xfrm>
          <a:off x="1485900" y="4857750"/>
          <a:ext cx="3714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600075</xdr:colOff>
      <xdr:row>26</xdr:row>
      <xdr:rowOff>66675</xdr:rowOff>
    </xdr:from>
    <xdr:to>
      <xdr:col>4</xdr:col>
      <xdr:colOff>228600</xdr:colOff>
      <xdr:row>26</xdr:row>
      <xdr:rowOff>66675</xdr:rowOff>
    </xdr:to>
    <xdr:sp>
      <xdr:nvSpPr>
        <xdr:cNvPr id="4" name="Straight Arrow Connector 13"/>
        <xdr:cNvSpPr>
          <a:spLocks/>
        </xdr:cNvSpPr>
      </xdr:nvSpPr>
      <xdr:spPr>
        <a:xfrm flipH="1">
          <a:off x="2943225" y="5372100"/>
          <a:ext cx="381000" cy="0"/>
        </a:xfrm>
        <a:prstGeom prst="straightConnector1">
          <a:avLst/>
        </a:prstGeom>
        <a:noFill/>
        <a:ln w="1905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628650</xdr:colOff>
      <xdr:row>23</xdr:row>
      <xdr:rowOff>133350</xdr:rowOff>
    </xdr:from>
    <xdr:ext cx="1647825" cy="247650"/>
    <xdr:sp>
      <xdr:nvSpPr>
        <xdr:cNvPr id="5" name="TextBox 16"/>
        <xdr:cNvSpPr txBox="1">
          <a:spLocks noChangeArrowheads="1"/>
        </xdr:cNvSpPr>
      </xdr:nvSpPr>
      <xdr:spPr>
        <a:xfrm>
          <a:off x="1400175" y="4867275"/>
          <a:ext cx="1647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Solar capy. added</a:t>
          </a:r>
          <a:r>
            <a:rPr lang="en-US" cap="none" sz="10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 read right</a:t>
          </a:r>
        </a:p>
      </xdr:txBody>
    </xdr:sp>
    <xdr:clientData/>
  </xdr:oneCellAnchor>
  <xdr:oneCellAnchor>
    <xdr:from>
      <xdr:col>2</xdr:col>
      <xdr:colOff>561975</xdr:colOff>
      <xdr:row>26</xdr:row>
      <xdr:rowOff>66675</xdr:rowOff>
    </xdr:from>
    <xdr:ext cx="1562100" cy="247650"/>
    <xdr:sp>
      <xdr:nvSpPr>
        <xdr:cNvPr id="6" name="TextBox 17"/>
        <xdr:cNvSpPr txBox="1">
          <a:spLocks noChangeArrowheads="1"/>
        </xdr:cNvSpPr>
      </xdr:nvSpPr>
      <xdr:spPr>
        <a:xfrm>
          <a:off x="2019300" y="5372100"/>
          <a:ext cx="1562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RPS Requirement read left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3.8515625" style="0" customWidth="1"/>
    <col min="2" max="2" width="8.28125" style="0" customWidth="1"/>
    <col min="3" max="3" width="14.140625" style="0" customWidth="1"/>
    <col min="4" max="5" width="14.8515625" style="0" customWidth="1"/>
    <col min="6" max="6" width="13.8515625" style="0" customWidth="1"/>
    <col min="7" max="7" width="14.7109375" style="0" customWidth="1"/>
    <col min="8" max="8" width="12.7109375" style="0" customWidth="1"/>
    <col min="9" max="9" width="14.8515625" style="0" customWidth="1"/>
    <col min="10" max="11" width="16.140625" style="0" customWidth="1"/>
    <col min="12" max="12" width="15.140625" style="0" customWidth="1"/>
    <col min="13" max="13" width="16.00390625" style="0" customWidth="1"/>
    <col min="14" max="14" width="13.8515625" style="0" customWidth="1"/>
    <col min="15" max="15" width="12.8515625" style="0" customWidth="1"/>
    <col min="16" max="16" width="12.421875" style="0" customWidth="1"/>
    <col min="17" max="17" width="11.7109375" style="0" customWidth="1"/>
  </cols>
  <sheetData>
    <row r="1" spans="1:12" ht="20.25">
      <c r="A1" s="45" t="s">
        <v>29</v>
      </c>
      <c r="B1" s="1"/>
      <c r="C1" s="1"/>
      <c r="E1" s="1"/>
      <c r="F1" s="1"/>
      <c r="J1" s="1" t="s">
        <v>28</v>
      </c>
      <c r="K1" s="1"/>
      <c r="L1" s="1"/>
    </row>
    <row r="2" spans="1:12" ht="20.25">
      <c r="A2" s="45" t="s">
        <v>39</v>
      </c>
      <c r="B2" s="1"/>
      <c r="C2" s="1"/>
      <c r="D2" s="1"/>
      <c r="E2" s="1"/>
      <c r="F2" s="1"/>
      <c r="J2" s="1" t="s">
        <v>30</v>
      </c>
      <c r="K2" s="1"/>
      <c r="L2" s="51">
        <v>41653</v>
      </c>
    </row>
    <row r="3" spans="2:9" ht="15">
      <c r="B3" s="1"/>
      <c r="C3" s="1"/>
      <c r="D3" s="1"/>
      <c r="E3" s="1"/>
      <c r="F3" s="1"/>
      <c r="H3" s="1"/>
      <c r="I3" s="32"/>
    </row>
    <row r="4" spans="1:6" ht="15.75">
      <c r="A4" s="38" t="s">
        <v>38</v>
      </c>
      <c r="B4" s="1"/>
      <c r="C4" s="1"/>
      <c r="D4" s="1"/>
      <c r="E4" s="1"/>
      <c r="F4" s="1"/>
    </row>
    <row r="5" spans="1:6" ht="15.75">
      <c r="A5" s="38" t="s">
        <v>36</v>
      </c>
      <c r="B5" s="1"/>
      <c r="C5" s="1"/>
      <c r="D5" s="1"/>
      <c r="E5" s="1"/>
      <c r="F5" s="1"/>
    </row>
    <row r="6" spans="1:8" ht="15">
      <c r="A6" s="11"/>
      <c r="B6" s="1"/>
      <c r="C6" s="1"/>
      <c r="D6" s="1"/>
      <c r="E6" s="1"/>
      <c r="F6" s="1"/>
      <c r="G6" s="1"/>
      <c r="H6" s="10"/>
    </row>
    <row r="7" spans="1:8" ht="18">
      <c r="A7" s="42" t="s">
        <v>42</v>
      </c>
      <c r="B7" s="1"/>
      <c r="C7" s="1"/>
      <c r="D7" s="1"/>
      <c r="E7" s="1"/>
      <c r="F7" s="1"/>
      <c r="G7" s="1"/>
      <c r="H7" s="10"/>
    </row>
    <row r="8" spans="1:8" ht="15">
      <c r="A8" s="1"/>
      <c r="B8" s="1"/>
      <c r="C8" s="1"/>
      <c r="D8" s="1"/>
      <c r="E8" s="1"/>
      <c r="F8" s="1"/>
      <c r="G8" s="1"/>
      <c r="H8" s="10"/>
    </row>
    <row r="9" spans="1:8" ht="54" customHeight="1">
      <c r="A9" s="15" t="s">
        <v>0</v>
      </c>
      <c r="B9" s="15" t="s">
        <v>31</v>
      </c>
      <c r="C9" s="15" t="s">
        <v>34</v>
      </c>
      <c r="D9" s="15" t="s">
        <v>32</v>
      </c>
      <c r="F9" s="1"/>
      <c r="G9" s="1"/>
      <c r="H9" s="1"/>
    </row>
    <row r="10" spans="1:8" ht="17.25" customHeight="1">
      <c r="A10" s="30">
        <v>2012</v>
      </c>
      <c r="B10" s="18" t="s">
        <v>33</v>
      </c>
      <c r="C10" s="17">
        <v>76935091</v>
      </c>
      <c r="D10" s="31">
        <v>442</v>
      </c>
      <c r="F10" s="35"/>
      <c r="G10" s="1"/>
      <c r="H10" s="1"/>
    </row>
    <row r="11" spans="1:8" ht="15">
      <c r="A11" s="16">
        <v>2013</v>
      </c>
      <c r="B11" s="18" t="s">
        <v>33</v>
      </c>
      <c r="C11" s="17">
        <f aca="true" t="shared" si="0" ref="C11:C22">C10*(1+$D$24)</f>
        <v>77889086.1284</v>
      </c>
      <c r="D11" s="31">
        <v>596</v>
      </c>
      <c r="F11" s="1"/>
      <c r="G11" s="1"/>
      <c r="H11" s="1"/>
    </row>
    <row r="12" spans="1:8" ht="15">
      <c r="A12" s="16">
        <v>2014</v>
      </c>
      <c r="B12" s="37">
        <v>0.0205</v>
      </c>
      <c r="C12" s="17">
        <f t="shared" si="0"/>
        <v>78854910.79639216</v>
      </c>
      <c r="D12" s="31">
        <f aca="true" t="shared" si="1" ref="D12:D22">ROUND(B12*C12/1000,1)</f>
        <v>1616.5</v>
      </c>
      <c r="F12" s="1"/>
      <c r="G12" s="1"/>
      <c r="H12" s="1"/>
    </row>
    <row r="13" spans="1:8" ht="15">
      <c r="A13" s="16">
        <v>2015</v>
      </c>
      <c r="B13" s="37">
        <v>0.0245</v>
      </c>
      <c r="C13" s="17">
        <f t="shared" si="0"/>
        <v>79832711.69026741</v>
      </c>
      <c r="D13" s="31">
        <f t="shared" si="1"/>
        <v>1955.9</v>
      </c>
      <c r="F13" s="1"/>
      <c r="G13" s="1"/>
      <c r="H13" s="1"/>
    </row>
    <row r="14" spans="1:8" ht="15">
      <c r="A14" s="16">
        <v>2016</v>
      </c>
      <c r="B14" s="37">
        <v>0.0275</v>
      </c>
      <c r="C14" s="17">
        <f t="shared" si="0"/>
        <v>80822637.31522673</v>
      </c>
      <c r="D14" s="31">
        <f t="shared" si="1"/>
        <v>2222.6</v>
      </c>
      <c r="F14" s="1"/>
      <c r="G14" s="1"/>
      <c r="H14" s="1"/>
    </row>
    <row r="15" spans="1:8" ht="15">
      <c r="A15" s="16">
        <v>2017</v>
      </c>
      <c r="B15" s="37">
        <v>0.03</v>
      </c>
      <c r="C15" s="17">
        <f t="shared" si="0"/>
        <v>81824838.01793554</v>
      </c>
      <c r="D15" s="31">
        <f t="shared" si="1"/>
        <v>2454.7</v>
      </c>
      <c r="F15" s="1"/>
      <c r="G15" s="1"/>
      <c r="H15" s="1"/>
    </row>
    <row r="16" spans="1:8" ht="15">
      <c r="A16" s="16">
        <v>2018</v>
      </c>
      <c r="B16" s="37">
        <v>0.032</v>
      </c>
      <c r="C16" s="17">
        <f t="shared" si="0"/>
        <v>82839466.00935794</v>
      </c>
      <c r="D16" s="31">
        <f t="shared" si="1"/>
        <v>2650.9</v>
      </c>
      <c r="F16" s="1"/>
      <c r="G16" s="1"/>
      <c r="H16" s="1"/>
    </row>
    <row r="17" spans="1:8" ht="15">
      <c r="A17" s="16">
        <v>2019</v>
      </c>
      <c r="B17" s="37">
        <v>0.0329</v>
      </c>
      <c r="C17" s="17">
        <f t="shared" si="0"/>
        <v>83866675.38787398</v>
      </c>
      <c r="D17" s="31">
        <f t="shared" si="1"/>
        <v>2759.2</v>
      </c>
      <c r="F17" s="1"/>
      <c r="G17" s="1"/>
      <c r="H17" s="1"/>
    </row>
    <row r="18" spans="1:8" ht="15">
      <c r="A18" s="16">
        <v>2020</v>
      </c>
      <c r="B18" s="37">
        <v>0.0338</v>
      </c>
      <c r="C18" s="17">
        <f t="shared" si="0"/>
        <v>84906622.1626836</v>
      </c>
      <c r="D18" s="31">
        <f t="shared" si="1"/>
        <v>2869.8</v>
      </c>
      <c r="F18" s="1"/>
      <c r="G18" s="1"/>
      <c r="H18" s="1"/>
    </row>
    <row r="19" spans="1:8" ht="15">
      <c r="A19" s="16">
        <v>2021</v>
      </c>
      <c r="B19" s="37">
        <v>0.0347</v>
      </c>
      <c r="C19" s="17">
        <f t="shared" si="0"/>
        <v>85959464.27750088</v>
      </c>
      <c r="D19" s="31">
        <f t="shared" si="1"/>
        <v>2982.8</v>
      </c>
      <c r="F19" s="1"/>
      <c r="G19" s="1"/>
      <c r="H19" s="1"/>
    </row>
    <row r="20" spans="1:8" ht="15">
      <c r="A20" s="16">
        <v>2022</v>
      </c>
      <c r="B20" s="37">
        <v>0.0356</v>
      </c>
      <c r="C20" s="17">
        <f t="shared" si="0"/>
        <v>87025361.63454188</v>
      </c>
      <c r="D20" s="31">
        <f t="shared" si="1"/>
        <v>3098.1</v>
      </c>
      <c r="F20" s="1"/>
      <c r="G20" s="1"/>
      <c r="H20" s="1"/>
    </row>
    <row r="21" spans="1:8" ht="15">
      <c r="A21" s="16">
        <v>2023</v>
      </c>
      <c r="B21" s="37">
        <v>0.0365</v>
      </c>
      <c r="C21" s="17">
        <f t="shared" si="0"/>
        <v>88104476.1188102</v>
      </c>
      <c r="D21" s="31">
        <f t="shared" si="1"/>
        <v>3215.8</v>
      </c>
      <c r="F21" s="1"/>
      <c r="G21" s="1"/>
      <c r="H21" s="1"/>
    </row>
    <row r="22" spans="1:8" ht="15">
      <c r="A22" s="16">
        <v>2024</v>
      </c>
      <c r="B22" s="37">
        <v>0.0374</v>
      </c>
      <c r="C22" s="17">
        <f t="shared" si="0"/>
        <v>89196971.62268345</v>
      </c>
      <c r="D22" s="31">
        <f t="shared" si="1"/>
        <v>3336</v>
      </c>
      <c r="F22" s="1"/>
      <c r="G22" s="1"/>
      <c r="H22" s="1"/>
    </row>
    <row r="23" spans="1:8" ht="17.25">
      <c r="A23" s="33" t="s">
        <v>43</v>
      </c>
      <c r="B23" s="34"/>
      <c r="C23" s="35"/>
      <c r="D23" s="36"/>
      <c r="F23" s="1"/>
      <c r="G23" s="1"/>
      <c r="H23" s="1"/>
    </row>
    <row r="24" spans="1:8" ht="17.25">
      <c r="A24" s="33" t="s">
        <v>35</v>
      </c>
      <c r="B24" s="34"/>
      <c r="C24" s="35"/>
      <c r="D24" s="44">
        <v>0.0124</v>
      </c>
      <c r="F24" s="1"/>
      <c r="G24" s="1"/>
      <c r="H24" s="1"/>
    </row>
    <row r="25" spans="1:8" ht="15">
      <c r="A25" s="1"/>
      <c r="B25" s="1"/>
      <c r="C25" s="1"/>
      <c r="D25" s="1"/>
      <c r="F25" s="1"/>
      <c r="G25" s="12"/>
      <c r="H25" s="1"/>
    </row>
    <row r="26" spans="1:8" s="40" customFormat="1" ht="18">
      <c r="A26" s="43" t="s">
        <v>37</v>
      </c>
      <c r="E26" s="41"/>
      <c r="G26" s="39"/>
      <c r="H26" s="39"/>
    </row>
    <row r="27" ht="10.5" customHeight="1"/>
    <row r="28" spans="1:15" ht="61.5" customHeight="1">
      <c r="A28" s="13" t="s">
        <v>0</v>
      </c>
      <c r="B28" s="13" t="s">
        <v>1</v>
      </c>
      <c r="C28" s="14" t="s">
        <v>41</v>
      </c>
      <c r="D28" s="14" t="s">
        <v>40</v>
      </c>
      <c r="E28" s="52" t="s">
        <v>2</v>
      </c>
      <c r="F28" s="14" t="s">
        <v>3</v>
      </c>
      <c r="G28" s="14" t="s">
        <v>4</v>
      </c>
      <c r="H28" s="14" t="s">
        <v>5</v>
      </c>
      <c r="I28" s="14" t="s">
        <v>6</v>
      </c>
      <c r="J28" s="14" t="s">
        <v>50</v>
      </c>
      <c r="K28" s="14" t="s">
        <v>48</v>
      </c>
      <c r="L28" s="29" t="s">
        <v>49</v>
      </c>
      <c r="M28" s="54" t="s">
        <v>51</v>
      </c>
      <c r="N28" s="14" t="s">
        <v>52</v>
      </c>
      <c r="O28" s="57" t="s">
        <v>53</v>
      </c>
    </row>
    <row r="29" spans="1:15" ht="15">
      <c r="A29" s="6"/>
      <c r="B29" s="3" t="s">
        <v>12</v>
      </c>
      <c r="C29" s="50">
        <v>1246.16</v>
      </c>
      <c r="D29" s="46">
        <f>130*C29/1165</f>
        <v>139.0564806866953</v>
      </c>
      <c r="E29" s="64">
        <v>40737.814</v>
      </c>
      <c r="F29" s="19">
        <v>380279</v>
      </c>
      <c r="G29" s="20">
        <f aca="true" t="shared" si="2" ref="G29:G60">D29*F29/1000</f>
        <v>52880.259419055794</v>
      </c>
      <c r="H29" s="25"/>
      <c r="I29" s="25"/>
      <c r="J29" s="25"/>
      <c r="K29" s="25"/>
      <c r="L29" s="25"/>
      <c r="M29" s="25"/>
      <c r="N29" s="58"/>
      <c r="O29" s="59"/>
    </row>
    <row r="30" spans="1:15" ht="15">
      <c r="A30" s="7"/>
      <c r="B30" s="4" t="s">
        <v>13</v>
      </c>
      <c r="C30" s="22"/>
      <c r="D30" s="47">
        <f>133*C29/1165</f>
        <v>142.26547639484977</v>
      </c>
      <c r="E30" s="65">
        <v>18713.531000000014</v>
      </c>
      <c r="F30" s="2">
        <f aca="true" t="shared" si="3" ref="F30:F41">F29+E30</f>
        <v>398992.531</v>
      </c>
      <c r="G30" s="21">
        <f t="shared" si="2"/>
        <v>56762.86250070186</v>
      </c>
      <c r="H30" s="22"/>
      <c r="I30" s="22"/>
      <c r="J30" s="22"/>
      <c r="K30" s="22"/>
      <c r="L30" s="22"/>
      <c r="M30" s="22"/>
      <c r="N30" s="60"/>
      <c r="O30" s="59"/>
    </row>
    <row r="31" spans="1:15" ht="15">
      <c r="A31" s="7"/>
      <c r="B31" s="4" t="s">
        <v>14</v>
      </c>
      <c r="C31" s="22"/>
      <c r="D31" s="47">
        <f>127*C29/1165</f>
        <v>135.8474849785408</v>
      </c>
      <c r="E31" s="65">
        <v>27825.338000000007</v>
      </c>
      <c r="F31" s="2">
        <f t="shared" si="3"/>
        <v>426817.869</v>
      </c>
      <c r="G31" s="21">
        <f t="shared" si="2"/>
        <v>57982.13404755029</v>
      </c>
      <c r="H31" s="22"/>
      <c r="I31" s="22"/>
      <c r="J31" s="22"/>
      <c r="K31" s="22"/>
      <c r="L31" s="22"/>
      <c r="M31" s="22"/>
      <c r="N31" s="60"/>
      <c r="O31" s="59"/>
    </row>
    <row r="32" spans="1:15" ht="15">
      <c r="A32" s="7"/>
      <c r="B32" s="4" t="s">
        <v>15</v>
      </c>
      <c r="C32" s="22"/>
      <c r="D32" s="47">
        <f>102*C29/1165</f>
        <v>109.10585407725323</v>
      </c>
      <c r="E32" s="65">
        <v>18822.644999999997</v>
      </c>
      <c r="F32" s="2">
        <f t="shared" si="3"/>
        <v>445640.514</v>
      </c>
      <c r="G32" s="21">
        <f t="shared" si="2"/>
        <v>48621.988891396126</v>
      </c>
      <c r="H32" s="22"/>
      <c r="I32" s="22"/>
      <c r="J32" s="22"/>
      <c r="K32" s="22"/>
      <c r="L32" s="22"/>
      <c r="M32" s="22"/>
      <c r="N32" s="60"/>
      <c r="O32" s="59"/>
    </row>
    <row r="33" spans="1:15" ht="15">
      <c r="A33" s="7"/>
      <c r="B33" s="4" t="s">
        <v>16</v>
      </c>
      <c r="C33" s="22"/>
      <c r="D33" s="47">
        <f>88*C29/1165</f>
        <v>94.13054077253219</v>
      </c>
      <c r="E33" s="65">
        <v>42221.91099999994</v>
      </c>
      <c r="F33" s="2">
        <f t="shared" si="3"/>
        <v>487862.425</v>
      </c>
      <c r="G33" s="21">
        <f t="shared" si="2"/>
        <v>45922.75388784892</v>
      </c>
      <c r="H33" s="22"/>
      <c r="I33" s="22"/>
      <c r="J33" s="22"/>
      <c r="K33" s="22"/>
      <c r="L33" s="22"/>
      <c r="M33" s="22"/>
      <c r="N33" s="60"/>
      <c r="O33" s="59"/>
    </row>
    <row r="34" spans="1:15" ht="15">
      <c r="A34" s="8" t="s">
        <v>17</v>
      </c>
      <c r="B34" s="4" t="s">
        <v>18</v>
      </c>
      <c r="C34" s="22"/>
      <c r="D34" s="47">
        <f>59*C29/1165</f>
        <v>63.110248927038626</v>
      </c>
      <c r="E34" s="65">
        <v>41580.812999999995</v>
      </c>
      <c r="F34" s="2">
        <f t="shared" si="3"/>
        <v>529443.238</v>
      </c>
      <c r="G34" s="21">
        <f t="shared" si="2"/>
        <v>33413.294542917356</v>
      </c>
      <c r="H34" s="22"/>
      <c r="I34" s="22"/>
      <c r="J34" s="22"/>
      <c r="K34" s="22"/>
      <c r="L34" s="22"/>
      <c r="M34" s="22"/>
      <c r="N34" s="60"/>
      <c r="O34" s="59"/>
    </row>
    <row r="35" spans="1:15" ht="15">
      <c r="A35" s="7"/>
      <c r="B35" s="4" t="s">
        <v>19</v>
      </c>
      <c r="C35" s="22"/>
      <c r="D35" s="47">
        <f>46*C29/1165</f>
        <v>49.2046008583691</v>
      </c>
      <c r="E35" s="65">
        <v>35478.50899999999</v>
      </c>
      <c r="F35" s="2">
        <f t="shared" si="3"/>
        <v>564921.747</v>
      </c>
      <c r="G35" s="21">
        <f t="shared" si="2"/>
        <v>27796.74907734757</v>
      </c>
      <c r="H35" s="22"/>
      <c r="I35" s="22"/>
      <c r="J35" s="22"/>
      <c r="K35" s="22"/>
      <c r="L35" s="22"/>
      <c r="M35" s="22"/>
      <c r="N35" s="60"/>
      <c r="O35" s="59"/>
    </row>
    <row r="36" spans="1:15" ht="15">
      <c r="A36" s="7"/>
      <c r="B36" s="4" t="s">
        <v>7</v>
      </c>
      <c r="C36" s="22"/>
      <c r="D36" s="47">
        <f>59*C29/1165</f>
        <v>63.110248927038626</v>
      </c>
      <c r="E36" s="65">
        <v>84952.02499999992</v>
      </c>
      <c r="F36" s="2">
        <f t="shared" si="3"/>
        <v>649873.7719999999</v>
      </c>
      <c r="G36" s="21">
        <f t="shared" si="2"/>
        <v>41013.69552207354</v>
      </c>
      <c r="H36" s="22"/>
      <c r="I36" s="22"/>
      <c r="J36" s="22"/>
      <c r="K36" s="22"/>
      <c r="L36" s="22"/>
      <c r="M36" s="22"/>
      <c r="N36" s="60"/>
      <c r="O36" s="59"/>
    </row>
    <row r="37" spans="1:15" ht="15">
      <c r="A37" s="7"/>
      <c r="B37" s="4" t="s">
        <v>8</v>
      </c>
      <c r="C37" s="22"/>
      <c r="D37" s="47">
        <f>75*C29/1165</f>
        <v>80.22489270386266</v>
      </c>
      <c r="E37" s="65">
        <v>38469.90300000005</v>
      </c>
      <c r="F37" s="2">
        <f t="shared" si="3"/>
        <v>688343.6749999999</v>
      </c>
      <c r="G37" s="21">
        <f t="shared" si="2"/>
        <v>55222.29747025751</v>
      </c>
      <c r="H37" s="22"/>
      <c r="I37" s="22"/>
      <c r="J37" s="22"/>
      <c r="K37" s="22"/>
      <c r="L37" s="22"/>
      <c r="M37" s="22"/>
      <c r="N37" s="60"/>
      <c r="O37" s="59"/>
    </row>
    <row r="38" spans="1:20" ht="15">
      <c r="A38" s="7"/>
      <c r="B38" s="4" t="s">
        <v>9</v>
      </c>
      <c r="C38" s="22"/>
      <c r="D38" s="47">
        <f>103*C29/1165</f>
        <v>110.17551931330473</v>
      </c>
      <c r="E38" s="65">
        <v>41688.407999999996</v>
      </c>
      <c r="F38" s="2">
        <f t="shared" si="3"/>
        <v>730032.0829999999</v>
      </c>
      <c r="G38" s="21">
        <f t="shared" si="2"/>
        <v>80431.66385989857</v>
      </c>
      <c r="H38" s="22"/>
      <c r="I38" s="22"/>
      <c r="J38" s="22"/>
      <c r="K38" s="22"/>
      <c r="L38" s="22"/>
      <c r="M38" s="22"/>
      <c r="N38" s="60"/>
      <c r="O38" s="59"/>
      <c r="S38" s="53"/>
      <c r="T38" s="53"/>
    </row>
    <row r="39" spans="1:20" ht="15">
      <c r="A39" s="7"/>
      <c r="B39" s="4" t="s">
        <v>10</v>
      </c>
      <c r="C39" s="22"/>
      <c r="D39" s="47">
        <f>115*C29/1165</f>
        <v>123.01150214592276</v>
      </c>
      <c r="E39" s="65">
        <v>39949.7</v>
      </c>
      <c r="F39" s="2">
        <f t="shared" si="3"/>
        <v>769981.7829999998</v>
      </c>
      <c r="G39" s="21">
        <f t="shared" si="2"/>
        <v>94716.61575182591</v>
      </c>
      <c r="H39" s="22"/>
      <c r="I39" s="73"/>
      <c r="J39" s="26"/>
      <c r="K39" s="26"/>
      <c r="L39" s="22"/>
      <c r="M39" s="22"/>
      <c r="N39" s="60"/>
      <c r="O39" s="59"/>
      <c r="S39" s="53"/>
      <c r="T39" s="53"/>
    </row>
    <row r="40" spans="1:20" ht="15">
      <c r="A40" s="9"/>
      <c r="B40" s="5" t="s">
        <v>11</v>
      </c>
      <c r="C40" s="49"/>
      <c r="D40" s="48">
        <f>128*C29/1165</f>
        <v>136.91715021459228</v>
      </c>
      <c r="E40" s="66">
        <v>32855.2</v>
      </c>
      <c r="F40" s="23">
        <f t="shared" si="3"/>
        <v>802836.9829999998</v>
      </c>
      <c r="G40" s="24">
        <f t="shared" si="2"/>
        <v>109922.15179924104</v>
      </c>
      <c r="H40" s="24">
        <f>SUM(G29:G40)</f>
        <v>704686.4667701145</v>
      </c>
      <c r="I40" s="74">
        <v>442000</v>
      </c>
      <c r="J40" s="24">
        <f>H40-I40</f>
        <v>262686.4667701145</v>
      </c>
      <c r="K40" s="24">
        <v>0</v>
      </c>
      <c r="L40" s="28">
        <f>H40+K40</f>
        <v>704686.4667701145</v>
      </c>
      <c r="M40" s="55">
        <f>L40/I40</f>
        <v>1.5943132732355532</v>
      </c>
      <c r="N40" s="61">
        <f>IF(I40&gt;L40,I40-L40,0)</f>
        <v>0</v>
      </c>
      <c r="O40" s="62">
        <f>IF((L40-I40)&gt;0,L40-I40,0)</f>
        <v>262686.4667701145</v>
      </c>
      <c r="P40" s="63"/>
      <c r="Q40" s="63"/>
      <c r="S40" s="53"/>
      <c r="T40" s="53"/>
    </row>
    <row r="41" spans="1:20" ht="15">
      <c r="A41" s="6"/>
      <c r="B41" s="3" t="s">
        <v>12</v>
      </c>
      <c r="C41" s="50">
        <v>1200</v>
      </c>
      <c r="D41" s="46">
        <f>130*C41/1165</f>
        <v>133.90557939914163</v>
      </c>
      <c r="E41" s="65">
        <v>29009.4</v>
      </c>
      <c r="F41" s="2">
        <f t="shared" si="3"/>
        <v>831846.3829999998</v>
      </c>
      <c r="G41" s="20">
        <f t="shared" si="2"/>
        <v>111388.87188669525</v>
      </c>
      <c r="H41" s="25"/>
      <c r="I41" s="75"/>
      <c r="J41" s="25"/>
      <c r="K41" s="25"/>
      <c r="L41" s="77"/>
      <c r="M41" s="25"/>
      <c r="N41" s="60"/>
      <c r="O41" s="59"/>
      <c r="S41" s="53"/>
      <c r="T41" s="53"/>
    </row>
    <row r="42" spans="1:15" ht="15">
      <c r="A42" s="7"/>
      <c r="B42" s="4" t="s">
        <v>13</v>
      </c>
      <c r="C42" s="22"/>
      <c r="D42" s="47">
        <f>133*C41/1165</f>
        <v>136.99570815450645</v>
      </c>
      <c r="E42" s="65">
        <v>20855.7</v>
      </c>
      <c r="F42" s="2">
        <f aca="true" t="shared" si="4" ref="F42:F72">F41+E42</f>
        <v>852702.0829999998</v>
      </c>
      <c r="G42" s="21">
        <f t="shared" si="2"/>
        <v>116816.5257054077</v>
      </c>
      <c r="H42" s="22"/>
      <c r="I42" s="73"/>
      <c r="J42" s="22"/>
      <c r="K42" s="22"/>
      <c r="L42" s="78"/>
      <c r="M42" s="22"/>
      <c r="N42" s="60"/>
      <c r="O42" s="59"/>
    </row>
    <row r="43" spans="1:15" ht="15">
      <c r="A43" s="7"/>
      <c r="B43" s="4" t="s">
        <v>14</v>
      </c>
      <c r="C43" s="22"/>
      <c r="D43" s="47">
        <f>127*C41/1165</f>
        <v>130.8154506437768</v>
      </c>
      <c r="E43" s="65">
        <v>23325</v>
      </c>
      <c r="F43" s="2">
        <f t="shared" si="4"/>
        <v>876027.0829999998</v>
      </c>
      <c r="G43" s="21">
        <f t="shared" si="2"/>
        <v>114597.87763879824</v>
      </c>
      <c r="H43" s="22"/>
      <c r="I43" s="73"/>
      <c r="J43" s="22"/>
      <c r="K43" s="22"/>
      <c r="L43" s="78"/>
      <c r="M43" s="22"/>
      <c r="N43" s="60"/>
      <c r="O43" s="59"/>
    </row>
    <row r="44" spans="1:15" ht="15">
      <c r="A44" s="7"/>
      <c r="B44" s="4" t="s">
        <v>15</v>
      </c>
      <c r="C44" s="22"/>
      <c r="D44" s="47">
        <f>102*C41/1165</f>
        <v>105.06437768240343</v>
      </c>
      <c r="E44" s="65">
        <v>24947.3</v>
      </c>
      <c r="F44" s="2">
        <f t="shared" si="4"/>
        <v>900974.3829999998</v>
      </c>
      <c r="G44" s="21">
        <f t="shared" si="2"/>
        <v>94660.31285768238</v>
      </c>
      <c r="H44" s="22"/>
      <c r="I44" s="73"/>
      <c r="J44" s="22"/>
      <c r="K44" s="22"/>
      <c r="L44" s="78"/>
      <c r="M44" s="22"/>
      <c r="N44" s="60"/>
      <c r="O44" s="59"/>
    </row>
    <row r="45" spans="1:15" ht="15">
      <c r="A45" s="7"/>
      <c r="B45" s="4" t="s">
        <v>16</v>
      </c>
      <c r="C45" s="22"/>
      <c r="D45" s="47">
        <f>88*C41/1165</f>
        <v>90.64377682403433</v>
      </c>
      <c r="E45" s="67">
        <v>23933.4</v>
      </c>
      <c r="F45" s="2">
        <f t="shared" si="4"/>
        <v>924907.7829999998</v>
      </c>
      <c r="G45" s="21">
        <f t="shared" si="2"/>
        <v>83837.13466506437</v>
      </c>
      <c r="H45" s="22"/>
      <c r="I45" s="73"/>
      <c r="J45" s="22"/>
      <c r="K45" s="22"/>
      <c r="L45" s="78"/>
      <c r="M45" s="22"/>
      <c r="N45" s="60"/>
      <c r="O45" s="59"/>
    </row>
    <row r="46" spans="1:15" ht="15">
      <c r="A46" s="8" t="s">
        <v>20</v>
      </c>
      <c r="B46" s="4" t="s">
        <v>18</v>
      </c>
      <c r="C46" s="22"/>
      <c r="D46" s="47">
        <f>59*C41/1165</f>
        <v>60.772532188841204</v>
      </c>
      <c r="E46" s="67">
        <v>45013.7</v>
      </c>
      <c r="F46" s="2">
        <f t="shared" si="4"/>
        <v>969921.4829999998</v>
      </c>
      <c r="G46" s="21">
        <f t="shared" si="2"/>
        <v>58944.58454626609</v>
      </c>
      <c r="H46" s="22"/>
      <c r="I46" s="73"/>
      <c r="J46" s="22"/>
      <c r="K46" s="22"/>
      <c r="L46" s="78"/>
      <c r="M46" s="22"/>
      <c r="N46" s="60"/>
      <c r="O46" s="59"/>
    </row>
    <row r="47" spans="1:15" ht="15">
      <c r="A47" s="7"/>
      <c r="B47" s="4" t="s">
        <v>19</v>
      </c>
      <c r="C47" s="22"/>
      <c r="D47" s="47">
        <f>46*C41/1165</f>
        <v>47.38197424892704</v>
      </c>
      <c r="E47" s="68">
        <v>12415.3</v>
      </c>
      <c r="F47" s="2">
        <f t="shared" si="4"/>
        <v>982336.7829999998</v>
      </c>
      <c r="G47" s="21">
        <f t="shared" si="2"/>
        <v>46545.056155879814</v>
      </c>
      <c r="H47" s="22"/>
      <c r="I47" s="73"/>
      <c r="J47" s="22"/>
      <c r="K47" s="22"/>
      <c r="L47" s="78"/>
      <c r="M47" s="22"/>
      <c r="N47" s="60"/>
      <c r="O47" s="59"/>
    </row>
    <row r="48" spans="1:15" ht="15">
      <c r="A48" s="7"/>
      <c r="B48" s="4" t="s">
        <v>7</v>
      </c>
      <c r="C48" s="22"/>
      <c r="D48" s="47">
        <f>59*C41/1165</f>
        <v>60.772532188841204</v>
      </c>
      <c r="E48" s="68">
        <v>17543.1</v>
      </c>
      <c r="F48" s="2">
        <f t="shared" si="4"/>
        <v>999879.8829999998</v>
      </c>
      <c r="G48" s="21">
        <f t="shared" si="2"/>
        <v>60765.23237459227</v>
      </c>
      <c r="H48" s="22"/>
      <c r="I48" s="73"/>
      <c r="J48" s="22"/>
      <c r="K48" s="22"/>
      <c r="L48" s="78"/>
      <c r="M48" s="22"/>
      <c r="N48" s="60"/>
      <c r="O48" s="59"/>
    </row>
    <row r="49" spans="1:15" ht="15">
      <c r="A49" s="7"/>
      <c r="B49" s="4" t="s">
        <v>8</v>
      </c>
      <c r="C49" s="22"/>
      <c r="D49" s="47">
        <f>75*C41/1165</f>
        <v>77.25321888412017</v>
      </c>
      <c r="E49" s="67">
        <v>34693</v>
      </c>
      <c r="F49" s="2">
        <f t="shared" si="4"/>
        <v>1034572.8829999998</v>
      </c>
      <c r="G49" s="21">
        <f t="shared" si="2"/>
        <v>79924.08538197423</v>
      </c>
      <c r="H49" s="22"/>
      <c r="I49" s="73"/>
      <c r="J49" s="22"/>
      <c r="K49" s="22"/>
      <c r="L49" s="78"/>
      <c r="M49" s="22"/>
      <c r="N49" s="60"/>
      <c r="O49" s="59"/>
    </row>
    <row r="50" spans="1:16" ht="15">
      <c r="A50" s="7"/>
      <c r="B50" s="4" t="s">
        <v>9</v>
      </c>
      <c r="C50" s="22"/>
      <c r="D50" s="47">
        <f>103*C41/1165</f>
        <v>106.09442060085837</v>
      </c>
      <c r="E50" s="67">
        <v>18307.1</v>
      </c>
      <c r="F50" s="2">
        <f t="shared" si="4"/>
        <v>1052879.9829999998</v>
      </c>
      <c r="G50" s="21">
        <f t="shared" si="2"/>
        <v>111704.69175862658</v>
      </c>
      <c r="H50" s="22"/>
      <c r="I50" s="73"/>
      <c r="J50" s="22"/>
      <c r="K50" s="22"/>
      <c r="L50" s="78"/>
      <c r="M50" s="22"/>
      <c r="N50" s="60"/>
      <c r="O50" s="59"/>
      <c r="P50" s="76"/>
    </row>
    <row r="51" spans="1:15" ht="15">
      <c r="A51" s="7"/>
      <c r="B51" s="4" t="s">
        <v>10</v>
      </c>
      <c r="C51" s="22"/>
      <c r="D51" s="47">
        <f>115*C41/1165</f>
        <v>118.45493562231759</v>
      </c>
      <c r="E51" s="68">
        <v>23047.8</v>
      </c>
      <c r="F51" s="2">
        <f t="shared" si="4"/>
        <v>1075927.7829999998</v>
      </c>
      <c r="G51" s="21">
        <f t="shared" si="2"/>
        <v>127448.95626952787</v>
      </c>
      <c r="H51" s="22"/>
      <c r="I51" s="73"/>
      <c r="J51" s="22"/>
      <c r="K51" s="22"/>
      <c r="L51" s="78"/>
      <c r="M51" s="22"/>
      <c r="N51" s="60"/>
      <c r="O51" s="59"/>
    </row>
    <row r="52" spans="1:17" ht="15">
      <c r="A52" s="9"/>
      <c r="B52" s="5" t="s">
        <v>11</v>
      </c>
      <c r="C52" s="49"/>
      <c r="D52" s="48">
        <f>128*C41/1165</f>
        <v>131.84549356223175</v>
      </c>
      <c r="E52" s="67">
        <v>22624.8</v>
      </c>
      <c r="F52" s="23">
        <f t="shared" si="4"/>
        <v>1098552.5829999999</v>
      </c>
      <c r="G52" s="24">
        <f t="shared" si="2"/>
        <v>144839.20750969954</v>
      </c>
      <c r="H52" s="24">
        <f>SUM(G41:G52)</f>
        <v>1151472.5367502144</v>
      </c>
      <c r="I52" s="74">
        <v>596000</v>
      </c>
      <c r="J52" s="24">
        <f>H52-I52</f>
        <v>555472.5367502144</v>
      </c>
      <c r="K52" s="24">
        <f>O40</f>
        <v>262686.4667701145</v>
      </c>
      <c r="L52" s="28">
        <f>H52+K52</f>
        <v>1414159.003520329</v>
      </c>
      <c r="M52" s="55">
        <f>L52/I52</f>
        <v>2.3727500059065925</v>
      </c>
      <c r="N52" s="61">
        <f>IF(I52&gt;L52,I52-L52,0)</f>
        <v>0</v>
      </c>
      <c r="O52" s="62">
        <f>IF((L52-I52)&gt;0,L52-I52,0)</f>
        <v>818159.003520329</v>
      </c>
      <c r="P52" s="63"/>
      <c r="Q52" s="63"/>
    </row>
    <row r="53" spans="1:15" ht="15">
      <c r="A53" s="6"/>
      <c r="B53" s="3" t="s">
        <v>12</v>
      </c>
      <c r="C53" s="50">
        <v>1205</v>
      </c>
      <c r="D53" s="46">
        <f>130*C53/1165</f>
        <v>134.46351931330472</v>
      </c>
      <c r="E53" s="86">
        <v>15748.1</v>
      </c>
      <c r="F53" s="19">
        <f t="shared" si="4"/>
        <v>1114300.683</v>
      </c>
      <c r="G53" s="20">
        <f t="shared" si="2"/>
        <v>149832.79140939913</v>
      </c>
      <c r="H53" s="25"/>
      <c r="I53" s="75"/>
      <c r="J53" s="25"/>
      <c r="K53" s="25"/>
      <c r="L53" s="77"/>
      <c r="M53" s="25"/>
      <c r="N53" s="60"/>
      <c r="O53" s="59"/>
    </row>
    <row r="54" spans="1:15" ht="15">
      <c r="A54" s="7"/>
      <c r="B54" s="4" t="s">
        <v>13</v>
      </c>
      <c r="C54" s="22"/>
      <c r="D54" s="47">
        <f>133*C53/1165</f>
        <v>137.56652360515022</v>
      </c>
      <c r="E54" s="67">
        <v>11555.9</v>
      </c>
      <c r="F54" s="2">
        <f t="shared" si="4"/>
        <v>1125856.5829999999</v>
      </c>
      <c r="G54" s="21">
        <f t="shared" si="2"/>
        <v>154880.17620128323</v>
      </c>
      <c r="H54" s="22"/>
      <c r="I54" s="73"/>
      <c r="J54" s="27"/>
      <c r="K54" s="27"/>
      <c r="L54" s="78"/>
      <c r="M54" s="22"/>
      <c r="N54" s="60"/>
      <c r="O54" s="59"/>
    </row>
    <row r="55" spans="1:15" ht="15">
      <c r="A55" s="7"/>
      <c r="B55" s="4" t="s">
        <v>14</v>
      </c>
      <c r="C55" s="22"/>
      <c r="D55" s="47">
        <f>127*C53/1165</f>
        <v>131.36051502145924</v>
      </c>
      <c r="E55" s="67">
        <v>8445.8</v>
      </c>
      <c r="F55" s="2">
        <f t="shared" si="4"/>
        <v>1134302.383</v>
      </c>
      <c r="G55" s="21">
        <f t="shared" si="2"/>
        <v>149002.5452209485</v>
      </c>
      <c r="H55" s="22"/>
      <c r="I55" s="73"/>
      <c r="J55" s="22"/>
      <c r="K55" s="22"/>
      <c r="L55" s="78"/>
      <c r="M55" s="22"/>
      <c r="N55" s="60"/>
      <c r="O55" s="59"/>
    </row>
    <row r="56" spans="1:15" ht="15">
      <c r="A56" s="7"/>
      <c r="B56" s="4" t="s">
        <v>15</v>
      </c>
      <c r="C56" s="22"/>
      <c r="D56" s="47">
        <f>102*C53/1165</f>
        <v>105.50214592274678</v>
      </c>
      <c r="E56" s="67">
        <v>8063.4</v>
      </c>
      <c r="F56" s="2">
        <f t="shared" si="4"/>
        <v>1142365.7829999998</v>
      </c>
      <c r="G56" s="21">
        <f t="shared" si="2"/>
        <v>120522.04153521886</v>
      </c>
      <c r="H56" s="22"/>
      <c r="I56" s="73"/>
      <c r="J56" s="22"/>
      <c r="K56" s="22"/>
      <c r="L56" s="78"/>
      <c r="M56" s="22"/>
      <c r="N56" s="60"/>
      <c r="O56" s="59"/>
    </row>
    <row r="57" spans="1:15" ht="15">
      <c r="A57" s="7"/>
      <c r="B57" s="4" t="s">
        <v>16</v>
      </c>
      <c r="C57" s="22"/>
      <c r="D57" s="47">
        <f>88*C53/1165</f>
        <v>91.02145922746782</v>
      </c>
      <c r="E57" s="67">
        <v>13100</v>
      </c>
      <c r="F57" s="2">
        <f t="shared" si="4"/>
        <v>1155465.7829999998</v>
      </c>
      <c r="G57" s="21">
        <f t="shared" si="2"/>
        <v>105172.18165606866</v>
      </c>
      <c r="H57" s="22"/>
      <c r="I57" s="73"/>
      <c r="J57" s="22"/>
      <c r="K57" s="22"/>
      <c r="L57" s="78"/>
      <c r="M57" s="22"/>
      <c r="N57" s="60"/>
      <c r="O57" s="59"/>
    </row>
    <row r="58" spans="1:15" ht="15">
      <c r="A58" s="8" t="s">
        <v>21</v>
      </c>
      <c r="B58" s="4" t="s">
        <v>18</v>
      </c>
      <c r="C58" s="22"/>
      <c r="D58" s="47">
        <f>59*C53/1165</f>
        <v>61.02575107296137</v>
      </c>
      <c r="E58" s="67">
        <v>12700</v>
      </c>
      <c r="F58" s="2">
        <f t="shared" si="4"/>
        <v>1168165.7829999998</v>
      </c>
      <c r="G58" s="21">
        <f t="shared" si="2"/>
        <v>71288.194285309</v>
      </c>
      <c r="H58" s="22"/>
      <c r="I58" s="73"/>
      <c r="J58" s="22"/>
      <c r="K58" s="22"/>
      <c r="L58" s="78"/>
      <c r="M58" s="22"/>
      <c r="N58" s="60"/>
      <c r="O58" s="59"/>
    </row>
    <row r="59" spans="1:15" ht="15">
      <c r="A59" s="7"/>
      <c r="B59" s="4" t="s">
        <v>19</v>
      </c>
      <c r="C59" s="22"/>
      <c r="D59" s="47">
        <f>46*C53/1165</f>
        <v>47.5793991416309</v>
      </c>
      <c r="E59" s="67">
        <v>17000</v>
      </c>
      <c r="F59" s="2">
        <f t="shared" si="4"/>
        <v>1185165.7829999998</v>
      </c>
      <c r="G59" s="21">
        <f t="shared" si="2"/>
        <v>56389.4758383605</v>
      </c>
      <c r="H59" s="22"/>
      <c r="I59" s="73"/>
      <c r="J59" s="22"/>
      <c r="K59" s="22"/>
      <c r="L59" s="78"/>
      <c r="M59" s="22"/>
      <c r="N59" s="60"/>
      <c r="O59" s="59"/>
    </row>
    <row r="60" spans="1:15" ht="15">
      <c r="A60" s="7"/>
      <c r="B60" s="4" t="s">
        <v>7</v>
      </c>
      <c r="C60" s="22"/>
      <c r="D60" s="47">
        <f>59*C53/1165</f>
        <v>61.02575107296137</v>
      </c>
      <c r="E60" s="69">
        <v>17000</v>
      </c>
      <c r="F60" s="2">
        <f t="shared" si="4"/>
        <v>1202165.7829999998</v>
      </c>
      <c r="G60" s="21">
        <f t="shared" si="2"/>
        <v>73363.06982178969</v>
      </c>
      <c r="H60" s="22"/>
      <c r="I60" s="73"/>
      <c r="J60" s="22"/>
      <c r="K60" s="22"/>
      <c r="L60" s="78"/>
      <c r="M60" s="22"/>
      <c r="N60" s="60"/>
      <c r="O60" s="59"/>
    </row>
    <row r="61" spans="1:15" ht="15">
      <c r="A61" s="7"/>
      <c r="B61" s="4" t="s">
        <v>8</v>
      </c>
      <c r="C61" s="22"/>
      <c r="D61" s="47">
        <f>75*C53/1165</f>
        <v>77.57510729613733</v>
      </c>
      <c r="E61" s="69">
        <v>17000</v>
      </c>
      <c r="F61" s="2">
        <f t="shared" si="4"/>
        <v>1219165.7829999998</v>
      </c>
      <c r="G61" s="21">
        <f aca="true" t="shared" si="5" ref="G61:G92">D61*F61/1000</f>
        <v>94576.91642800426</v>
      </c>
      <c r="H61" s="22"/>
      <c r="I61" s="73"/>
      <c r="J61" s="22"/>
      <c r="K61" s="22"/>
      <c r="L61" s="78"/>
      <c r="M61" s="22"/>
      <c r="N61" s="60"/>
      <c r="O61" s="59"/>
    </row>
    <row r="62" spans="1:15" ht="15">
      <c r="A62" s="7"/>
      <c r="B62" s="4" t="s">
        <v>9</v>
      </c>
      <c r="C62" s="22"/>
      <c r="D62" s="47">
        <f>103*C53/1165</f>
        <v>106.53648068669528</v>
      </c>
      <c r="E62" s="69">
        <v>17000</v>
      </c>
      <c r="F62" s="2">
        <f t="shared" si="4"/>
        <v>1236165.7829999998</v>
      </c>
      <c r="G62" s="21">
        <f t="shared" si="5"/>
        <v>131696.75206613305</v>
      </c>
      <c r="H62" s="22"/>
      <c r="I62" s="73"/>
      <c r="J62" s="22"/>
      <c r="K62" s="22"/>
      <c r="L62" s="78"/>
      <c r="M62" s="22"/>
      <c r="N62" s="60"/>
      <c r="O62" s="59"/>
    </row>
    <row r="63" spans="1:15" ht="15">
      <c r="A63" s="7"/>
      <c r="B63" s="4" t="s">
        <v>10</v>
      </c>
      <c r="C63" s="22"/>
      <c r="D63" s="47">
        <f>115*C53/1165</f>
        <v>118.94849785407726</v>
      </c>
      <c r="E63" s="69">
        <v>17000</v>
      </c>
      <c r="F63" s="2">
        <f t="shared" si="4"/>
        <v>1253165.7829999998</v>
      </c>
      <c r="G63" s="21">
        <f t="shared" si="5"/>
        <v>149062.18744997852</v>
      </c>
      <c r="H63" s="22"/>
      <c r="I63" s="73"/>
      <c r="J63" s="22"/>
      <c r="K63" s="22"/>
      <c r="L63" s="78"/>
      <c r="M63" s="22"/>
      <c r="N63" s="60"/>
      <c r="O63" s="59"/>
    </row>
    <row r="64" spans="1:17" ht="15">
      <c r="A64" s="9"/>
      <c r="B64" s="5" t="s">
        <v>11</v>
      </c>
      <c r="C64" s="49"/>
      <c r="D64" s="48">
        <f>128*C53/1165</f>
        <v>132.39484978540773</v>
      </c>
      <c r="E64" s="69">
        <v>17000</v>
      </c>
      <c r="F64" s="23">
        <f t="shared" si="4"/>
        <v>1270165.7829999998</v>
      </c>
      <c r="G64" s="24">
        <f t="shared" si="5"/>
        <v>168163.40804284977</v>
      </c>
      <c r="H64" s="24">
        <f>SUM(G53:G64)</f>
        <v>1423949.739955343</v>
      </c>
      <c r="I64" s="74">
        <f>D12*1000</f>
        <v>1616500</v>
      </c>
      <c r="J64" s="24">
        <f>H64-I64</f>
        <v>-192550.26004465693</v>
      </c>
      <c r="K64" s="24">
        <f>O52</f>
        <v>818159.003520329</v>
      </c>
      <c r="L64" s="28">
        <f>H64+K64</f>
        <v>2242108.743475672</v>
      </c>
      <c r="M64" s="55">
        <f>L64/I64</f>
        <v>1.3870143788899918</v>
      </c>
      <c r="N64" s="61">
        <f>IF(I64&gt;L64,I64-L64,0)</f>
        <v>0</v>
      </c>
      <c r="O64" s="62">
        <f>IF((L64-I64)&gt;0,L64-I64,0)</f>
        <v>625608.7434756719</v>
      </c>
      <c r="P64" s="63"/>
      <c r="Q64" s="63"/>
    </row>
    <row r="65" spans="1:15" ht="15">
      <c r="A65" s="6"/>
      <c r="B65" s="3" t="s">
        <v>12</v>
      </c>
      <c r="C65" s="50">
        <v>1210</v>
      </c>
      <c r="D65" s="46">
        <f>130*C65/1165</f>
        <v>135.0214592274678</v>
      </c>
      <c r="E65" s="70">
        <v>17000</v>
      </c>
      <c r="F65" s="19">
        <f t="shared" si="4"/>
        <v>1287165.7829999998</v>
      </c>
      <c r="G65" s="20">
        <f t="shared" si="5"/>
        <v>173795.00228832616</v>
      </c>
      <c r="H65" s="25"/>
      <c r="I65" s="75"/>
      <c r="J65" s="25"/>
      <c r="K65" s="25"/>
      <c r="L65" s="77"/>
      <c r="M65" s="25"/>
      <c r="N65" s="60"/>
      <c r="O65" s="59"/>
    </row>
    <row r="66" spans="1:15" ht="15">
      <c r="A66" s="7"/>
      <c r="B66" s="4" t="s">
        <v>13</v>
      </c>
      <c r="C66" s="22"/>
      <c r="D66" s="47">
        <f>133*C65/1165</f>
        <v>138.137339055794</v>
      </c>
      <c r="E66" s="69">
        <f>$E$65</f>
        <v>17000</v>
      </c>
      <c r="F66" s="2">
        <f t="shared" si="4"/>
        <v>1304165.7829999998</v>
      </c>
      <c r="G66" s="21">
        <f t="shared" si="5"/>
        <v>180153.99095123605</v>
      </c>
      <c r="H66" s="22"/>
      <c r="I66" s="73"/>
      <c r="J66" s="22"/>
      <c r="K66" s="22"/>
      <c r="L66" s="78"/>
      <c r="M66" s="22"/>
      <c r="N66" s="60"/>
      <c r="O66" s="59"/>
    </row>
    <row r="67" spans="1:15" ht="15">
      <c r="A67" s="7"/>
      <c r="B67" s="4" t="s">
        <v>14</v>
      </c>
      <c r="C67" s="22"/>
      <c r="D67" s="47">
        <f>127*C65/1165</f>
        <v>131.90557939914163</v>
      </c>
      <c r="E67" s="69">
        <f aca="true" t="shared" si="6" ref="E67:E76">$E$65</f>
        <v>17000</v>
      </c>
      <c r="F67" s="2">
        <f t="shared" si="4"/>
        <v>1321165.7829999998</v>
      </c>
      <c r="G67" s="21">
        <f t="shared" si="5"/>
        <v>174269.13808893558</v>
      </c>
      <c r="H67" s="22"/>
      <c r="I67" s="73"/>
      <c r="J67" s="22"/>
      <c r="K67" s="22"/>
      <c r="L67" s="78"/>
      <c r="M67" s="22"/>
      <c r="N67" s="60"/>
      <c r="O67" s="59"/>
    </row>
    <row r="68" spans="1:15" ht="15">
      <c r="A68" s="7"/>
      <c r="B68" s="4" t="s">
        <v>15</v>
      </c>
      <c r="C68" s="22"/>
      <c r="D68" s="47">
        <f>102*C65/1165</f>
        <v>105.93991416309012</v>
      </c>
      <c r="E68" s="69">
        <f t="shared" si="6"/>
        <v>17000</v>
      </c>
      <c r="F68" s="2">
        <f t="shared" si="4"/>
        <v>1338165.7829999998</v>
      </c>
      <c r="G68" s="21">
        <f t="shared" si="5"/>
        <v>141765.16818700428</v>
      </c>
      <c r="H68" s="22"/>
      <c r="I68" s="73"/>
      <c r="J68" s="22"/>
      <c r="K68" s="22"/>
      <c r="L68" s="78"/>
      <c r="M68" s="22"/>
      <c r="N68" s="60"/>
      <c r="O68" s="59"/>
    </row>
    <row r="69" spans="1:15" ht="15">
      <c r="A69" s="7"/>
      <c r="B69" s="4" t="s">
        <v>16</v>
      </c>
      <c r="C69" s="22"/>
      <c r="D69" s="47">
        <f>88*C65/1165</f>
        <v>91.39914163090128</v>
      </c>
      <c r="E69" s="69">
        <f t="shared" si="6"/>
        <v>17000</v>
      </c>
      <c r="F69" s="2">
        <f t="shared" si="4"/>
        <v>1355165.7829999998</v>
      </c>
      <c r="G69" s="21">
        <f t="shared" si="5"/>
        <v>123860.98933376822</v>
      </c>
      <c r="H69" s="22"/>
      <c r="I69" s="73"/>
      <c r="J69" s="22"/>
      <c r="K69" s="22"/>
      <c r="L69" s="78"/>
      <c r="M69" s="22"/>
      <c r="N69" s="60"/>
      <c r="O69" s="59"/>
    </row>
    <row r="70" spans="1:15" ht="15">
      <c r="A70" s="8" t="s">
        <v>22</v>
      </c>
      <c r="B70" s="4" t="s">
        <v>18</v>
      </c>
      <c r="C70" s="22"/>
      <c r="D70" s="47">
        <f>59*C65/1165</f>
        <v>61.27896995708154</v>
      </c>
      <c r="E70" s="69">
        <f t="shared" si="6"/>
        <v>17000</v>
      </c>
      <c r="F70" s="2">
        <f t="shared" si="4"/>
        <v>1372165.7829999998</v>
      </c>
      <c r="G70" s="21">
        <f t="shared" si="5"/>
        <v>84084.90579259225</v>
      </c>
      <c r="H70" s="22"/>
      <c r="I70" s="73"/>
      <c r="J70" s="22"/>
      <c r="K70" s="22"/>
      <c r="L70" s="78"/>
      <c r="M70" s="22"/>
      <c r="N70" s="60"/>
      <c r="O70" s="59"/>
    </row>
    <row r="71" spans="1:15" ht="15">
      <c r="A71" s="7"/>
      <c r="B71" s="4" t="s">
        <v>19</v>
      </c>
      <c r="C71" s="22"/>
      <c r="D71" s="47">
        <f>46*C65/1165</f>
        <v>47.776824034334766</v>
      </c>
      <c r="E71" s="69">
        <f t="shared" si="6"/>
        <v>17000</v>
      </c>
      <c r="F71" s="2">
        <f t="shared" si="4"/>
        <v>1389165.7829999998</v>
      </c>
      <c r="G71" s="21">
        <f t="shared" si="5"/>
        <v>66369.92916890986</v>
      </c>
      <c r="H71" s="22"/>
      <c r="I71" s="73"/>
      <c r="J71" s="22"/>
      <c r="K71" s="22"/>
      <c r="L71" s="78"/>
      <c r="M71" s="22"/>
      <c r="N71" s="60"/>
      <c r="O71" s="59"/>
    </row>
    <row r="72" spans="1:15" ht="15">
      <c r="A72" s="7"/>
      <c r="B72" s="4" t="s">
        <v>7</v>
      </c>
      <c r="C72" s="22"/>
      <c r="D72" s="47">
        <f>59*C65/1165</f>
        <v>61.27896995708154</v>
      </c>
      <c r="E72" s="69">
        <f t="shared" si="6"/>
        <v>17000</v>
      </c>
      <c r="F72" s="2">
        <f t="shared" si="4"/>
        <v>1406165.7829999998</v>
      </c>
      <c r="G72" s="21">
        <f t="shared" si="5"/>
        <v>86168.39077113304</v>
      </c>
      <c r="H72" s="22"/>
      <c r="I72" s="73"/>
      <c r="J72" s="22"/>
      <c r="K72" s="22"/>
      <c r="L72" s="78"/>
      <c r="M72" s="22"/>
      <c r="N72" s="60"/>
      <c r="O72" s="59"/>
    </row>
    <row r="73" spans="1:15" ht="15">
      <c r="A73" s="7"/>
      <c r="B73" s="4" t="s">
        <v>8</v>
      </c>
      <c r="C73" s="22"/>
      <c r="D73" s="47">
        <f>75*C65/1165</f>
        <v>77.8969957081545</v>
      </c>
      <c r="E73" s="69">
        <f t="shared" si="6"/>
        <v>17000</v>
      </c>
      <c r="F73" s="2">
        <f aca="true" t="shared" si="7" ref="F73:F104">F72+E73</f>
        <v>1423165.7829999998</v>
      </c>
      <c r="G73" s="21">
        <f t="shared" si="5"/>
        <v>110860.33889034334</v>
      </c>
      <c r="H73" s="22"/>
      <c r="I73" s="73"/>
      <c r="J73" s="22"/>
      <c r="K73" s="22"/>
      <c r="L73" s="78"/>
      <c r="M73" s="22"/>
      <c r="N73" s="60"/>
      <c r="O73" s="59"/>
    </row>
    <row r="74" spans="1:15" ht="15">
      <c r="A74" s="7"/>
      <c r="B74" s="4" t="s">
        <v>9</v>
      </c>
      <c r="C74" s="22"/>
      <c r="D74" s="47">
        <f>103*C65/1165</f>
        <v>106.97854077253218</v>
      </c>
      <c r="E74" s="69">
        <f t="shared" si="6"/>
        <v>17000</v>
      </c>
      <c r="F74" s="2">
        <f t="shared" si="7"/>
        <v>1440165.7829999998</v>
      </c>
      <c r="G74" s="21">
        <f t="shared" si="5"/>
        <v>154066.83393587123</v>
      </c>
      <c r="H74" s="22"/>
      <c r="I74" s="73"/>
      <c r="J74" s="22"/>
      <c r="K74" s="22"/>
      <c r="L74" s="78"/>
      <c r="M74" s="22"/>
      <c r="N74" s="60"/>
      <c r="O74" s="59"/>
    </row>
    <row r="75" spans="1:15" ht="15">
      <c r="A75" s="7"/>
      <c r="B75" s="4" t="s">
        <v>10</v>
      </c>
      <c r="C75" s="22"/>
      <c r="D75" s="47">
        <f>115*C65/1165</f>
        <v>119.44206008583691</v>
      </c>
      <c r="E75" s="69">
        <f t="shared" si="6"/>
        <v>17000</v>
      </c>
      <c r="F75" s="2">
        <f t="shared" si="7"/>
        <v>1457165.7829999998</v>
      </c>
      <c r="G75" s="21">
        <f t="shared" si="5"/>
        <v>174046.88300811156</v>
      </c>
      <c r="H75" s="22"/>
      <c r="I75" s="73"/>
      <c r="J75" s="22"/>
      <c r="K75" s="22"/>
      <c r="L75" s="78"/>
      <c r="M75" s="22"/>
      <c r="N75" s="60"/>
      <c r="O75" s="59"/>
    </row>
    <row r="76" spans="1:17" ht="15">
      <c r="A76" s="9"/>
      <c r="B76" s="5" t="s">
        <v>11</v>
      </c>
      <c r="C76" s="49"/>
      <c r="D76" s="48">
        <f>128*C65/1165</f>
        <v>132.94420600858368</v>
      </c>
      <c r="E76" s="69">
        <f t="shared" si="6"/>
        <v>17000</v>
      </c>
      <c r="F76" s="23">
        <f t="shared" si="7"/>
        <v>1474165.7829999998</v>
      </c>
      <c r="G76" s="24">
        <f t="shared" si="5"/>
        <v>195981.79954595704</v>
      </c>
      <c r="H76" s="24">
        <f>SUM(G65:G76)</f>
        <v>1665423.3699621886</v>
      </c>
      <c r="I76" s="74">
        <f>D13*1000</f>
        <v>1955900</v>
      </c>
      <c r="J76" s="24">
        <f>H76-I76</f>
        <v>-290476.63003781135</v>
      </c>
      <c r="K76" s="24">
        <f>O64</f>
        <v>625608.7434756719</v>
      </c>
      <c r="L76" s="28">
        <f>H76+K76</f>
        <v>2291032.1134378603</v>
      </c>
      <c r="M76" s="55">
        <f>L76/I76</f>
        <v>1.171344196246158</v>
      </c>
      <c r="N76" s="61">
        <f>IF(I76&gt;L76,I76-L76,0)</f>
        <v>0</v>
      </c>
      <c r="O76" s="62">
        <f>IF((L76-I76)&gt;0,L76-I76,0)</f>
        <v>335132.1134378603</v>
      </c>
      <c r="P76" s="63"/>
      <c r="Q76" s="63"/>
    </row>
    <row r="77" spans="1:15" ht="15">
      <c r="A77" s="6"/>
      <c r="B77" s="3" t="s">
        <v>12</v>
      </c>
      <c r="C77" s="50">
        <v>1215</v>
      </c>
      <c r="D77" s="46">
        <f>130*C77/1165</f>
        <v>135.57939914163092</v>
      </c>
      <c r="E77" s="70">
        <v>17000</v>
      </c>
      <c r="F77" s="19">
        <f t="shared" si="7"/>
        <v>1491165.7829999998</v>
      </c>
      <c r="G77" s="20">
        <f t="shared" si="5"/>
        <v>202171.36087969955</v>
      </c>
      <c r="H77" s="25"/>
      <c r="I77" s="75"/>
      <c r="J77" s="25"/>
      <c r="K77" s="25"/>
      <c r="L77" s="77"/>
      <c r="M77" s="25"/>
      <c r="N77" s="60"/>
      <c r="O77" s="59"/>
    </row>
    <row r="78" spans="1:15" ht="15">
      <c r="A78" s="7"/>
      <c r="B78" s="4" t="s">
        <v>13</v>
      </c>
      <c r="C78" s="22"/>
      <c r="D78" s="47">
        <f>133*C77/1165</f>
        <v>138.70815450643778</v>
      </c>
      <c r="E78" s="69">
        <f>$E$77</f>
        <v>17000</v>
      </c>
      <c r="F78" s="2">
        <f t="shared" si="7"/>
        <v>1508165.7829999998</v>
      </c>
      <c r="G78" s="21">
        <f t="shared" si="5"/>
        <v>209194.89244968668</v>
      </c>
      <c r="H78" s="22"/>
      <c r="I78" s="73"/>
      <c r="J78" s="22"/>
      <c r="K78" s="22"/>
      <c r="L78" s="78"/>
      <c r="M78" s="22"/>
      <c r="N78" s="60"/>
      <c r="O78" s="59"/>
    </row>
    <row r="79" spans="1:15" ht="15">
      <c r="A79" s="7"/>
      <c r="B79" s="4" t="s">
        <v>14</v>
      </c>
      <c r="C79" s="22"/>
      <c r="D79" s="47">
        <f>127*C77/1165</f>
        <v>132.45064377682402</v>
      </c>
      <c r="E79" s="69">
        <f aca="true" t="shared" si="8" ref="E79:E88">$E$77</f>
        <v>17000</v>
      </c>
      <c r="F79" s="2">
        <f t="shared" si="7"/>
        <v>1525165.7829999998</v>
      </c>
      <c r="G79" s="21">
        <f t="shared" si="5"/>
        <v>202009.18982473385</v>
      </c>
      <c r="H79" s="22"/>
      <c r="I79" s="73"/>
      <c r="J79" s="22"/>
      <c r="K79" s="22"/>
      <c r="L79" s="78"/>
      <c r="M79" s="22"/>
      <c r="N79" s="60"/>
      <c r="O79" s="59"/>
    </row>
    <row r="80" spans="1:15" ht="15">
      <c r="A80" s="7"/>
      <c r="B80" s="4" t="s">
        <v>15</v>
      </c>
      <c r="C80" s="22"/>
      <c r="D80" s="47">
        <f>102*C77/1165</f>
        <v>106.37768240343348</v>
      </c>
      <c r="E80" s="69">
        <f t="shared" si="8"/>
        <v>17000</v>
      </c>
      <c r="F80" s="2">
        <f t="shared" si="7"/>
        <v>1542165.7829999998</v>
      </c>
      <c r="G80" s="21">
        <f t="shared" si="5"/>
        <v>164052.02187741632</v>
      </c>
      <c r="H80" s="22"/>
      <c r="I80" s="73"/>
      <c r="J80" s="22"/>
      <c r="K80" s="22"/>
      <c r="L80" s="78"/>
      <c r="M80" s="22"/>
      <c r="N80" s="60"/>
      <c r="O80" s="59"/>
    </row>
    <row r="81" spans="1:15" ht="15">
      <c r="A81" s="7"/>
      <c r="B81" s="4" t="s">
        <v>16</v>
      </c>
      <c r="C81" s="22"/>
      <c r="D81" s="47">
        <f>88*C77/1165</f>
        <v>91.77682403433477</v>
      </c>
      <c r="E81" s="69">
        <f t="shared" si="8"/>
        <v>17000</v>
      </c>
      <c r="F81" s="2">
        <f t="shared" si="7"/>
        <v>1559165.7829999998</v>
      </c>
      <c r="G81" s="21">
        <f t="shared" si="5"/>
        <v>143095.28370674676</v>
      </c>
      <c r="H81" s="22"/>
      <c r="I81" s="73"/>
      <c r="J81" s="22"/>
      <c r="K81" s="22"/>
      <c r="L81" s="78"/>
      <c r="M81" s="22"/>
      <c r="N81" s="60"/>
      <c r="O81" s="59"/>
    </row>
    <row r="82" spans="1:15" ht="15">
      <c r="A82" s="8" t="s">
        <v>23</v>
      </c>
      <c r="B82" s="4" t="s">
        <v>18</v>
      </c>
      <c r="C82" s="22"/>
      <c r="D82" s="47">
        <f>59*C77/1165</f>
        <v>61.532188841201716</v>
      </c>
      <c r="E82" s="69">
        <f t="shared" si="8"/>
        <v>17000</v>
      </c>
      <c r="F82" s="2">
        <f t="shared" si="7"/>
        <v>1576165.7829999998</v>
      </c>
      <c r="G82" s="21">
        <f t="shared" si="5"/>
        <v>96984.93060459655</v>
      </c>
      <c r="H82" s="22"/>
      <c r="I82" s="73"/>
      <c r="J82" s="22"/>
      <c r="K82" s="22"/>
      <c r="L82" s="78"/>
      <c r="M82" s="22"/>
      <c r="N82" s="60"/>
      <c r="O82" s="59"/>
    </row>
    <row r="83" spans="1:15" ht="15">
      <c r="A83" s="7"/>
      <c r="B83" s="4" t="s">
        <v>19</v>
      </c>
      <c r="C83" s="22"/>
      <c r="D83" s="47">
        <f>46*C77/1165</f>
        <v>47.97424892703863</v>
      </c>
      <c r="E83" s="69">
        <f t="shared" si="8"/>
        <v>17000</v>
      </c>
      <c r="F83" s="2">
        <f t="shared" si="7"/>
        <v>1593165.7829999998</v>
      </c>
      <c r="G83" s="21">
        <f t="shared" si="5"/>
        <v>76430.9318556824</v>
      </c>
      <c r="H83" s="22"/>
      <c r="I83" s="73"/>
      <c r="J83" s="22"/>
      <c r="K83" s="22"/>
      <c r="L83" s="78"/>
      <c r="M83" s="22"/>
      <c r="N83" s="60"/>
      <c r="O83" s="59"/>
    </row>
    <row r="84" spans="1:15" ht="15">
      <c r="A84" s="7"/>
      <c r="B84" s="4" t="s">
        <v>7</v>
      </c>
      <c r="C84" s="22"/>
      <c r="D84" s="47">
        <f>59*C77/1165</f>
        <v>61.532188841201716</v>
      </c>
      <c r="E84" s="69">
        <f t="shared" si="8"/>
        <v>17000</v>
      </c>
      <c r="F84" s="2">
        <f t="shared" si="7"/>
        <v>1610165.7829999998</v>
      </c>
      <c r="G84" s="21">
        <f t="shared" si="5"/>
        <v>99077.02502519742</v>
      </c>
      <c r="H84" s="22"/>
      <c r="I84" s="73"/>
      <c r="J84" s="22"/>
      <c r="K84" s="22"/>
      <c r="L84" s="78"/>
      <c r="M84" s="22"/>
      <c r="N84" s="60"/>
      <c r="O84" s="59"/>
    </row>
    <row r="85" spans="1:15" ht="15">
      <c r="A85" s="7"/>
      <c r="B85" s="4" t="s">
        <v>8</v>
      </c>
      <c r="C85" s="22"/>
      <c r="D85" s="47">
        <f>75*C77/1165</f>
        <v>78.21888412017168</v>
      </c>
      <c r="E85" s="69">
        <f t="shared" si="8"/>
        <v>17000</v>
      </c>
      <c r="F85" s="2">
        <f t="shared" si="7"/>
        <v>1627165.7829999998</v>
      </c>
      <c r="G85" s="21">
        <f t="shared" si="5"/>
        <v>127275.0918247854</v>
      </c>
      <c r="H85" s="22"/>
      <c r="I85" s="73"/>
      <c r="J85" s="22"/>
      <c r="K85" s="22"/>
      <c r="L85" s="78"/>
      <c r="M85" s="22"/>
      <c r="N85" s="60"/>
      <c r="O85" s="59"/>
    </row>
    <row r="86" spans="1:15" ht="15">
      <c r="A86" s="7"/>
      <c r="B86" s="4" t="s">
        <v>9</v>
      </c>
      <c r="C86" s="22"/>
      <c r="D86" s="47">
        <f>103*C77/1165</f>
        <v>107.4206008583691</v>
      </c>
      <c r="E86" s="69">
        <f t="shared" si="8"/>
        <v>17000</v>
      </c>
      <c r="F86" s="2">
        <f t="shared" si="7"/>
        <v>1644165.7829999998</v>
      </c>
      <c r="G86" s="21">
        <f t="shared" si="5"/>
        <v>176617.2763206309</v>
      </c>
      <c r="H86" s="22"/>
      <c r="I86" s="73"/>
      <c r="J86" s="22"/>
      <c r="K86" s="22"/>
      <c r="L86" s="78"/>
      <c r="M86" s="22"/>
      <c r="N86" s="60"/>
      <c r="O86" s="59"/>
    </row>
    <row r="87" spans="1:15" ht="15">
      <c r="A87" s="7"/>
      <c r="B87" s="4" t="s">
        <v>10</v>
      </c>
      <c r="C87" s="22"/>
      <c r="D87" s="47">
        <f>115*C77/1165</f>
        <v>119.93562231759657</v>
      </c>
      <c r="E87" s="69">
        <f t="shared" si="8"/>
        <v>17000</v>
      </c>
      <c r="F87" s="2">
        <f t="shared" si="7"/>
        <v>1661165.7829999998</v>
      </c>
      <c r="G87" s="21">
        <f t="shared" si="5"/>
        <v>199232.95195680254</v>
      </c>
      <c r="H87" s="22"/>
      <c r="I87" s="73"/>
      <c r="J87" s="22"/>
      <c r="K87" s="22"/>
      <c r="L87" s="78"/>
      <c r="M87" s="22"/>
      <c r="N87" s="60"/>
      <c r="O87" s="59"/>
    </row>
    <row r="88" spans="1:17" ht="15">
      <c r="A88" s="9"/>
      <c r="B88" s="5" t="s">
        <v>11</v>
      </c>
      <c r="C88" s="49"/>
      <c r="D88" s="48">
        <f>128*C77/1165</f>
        <v>133.49356223175965</v>
      </c>
      <c r="E88" s="69">
        <f t="shared" si="8"/>
        <v>17000</v>
      </c>
      <c r="F88" s="23">
        <f t="shared" si="7"/>
        <v>1678165.7829999998</v>
      </c>
      <c r="G88" s="24">
        <f t="shared" si="5"/>
        <v>224024.32838812014</v>
      </c>
      <c r="H88" s="24">
        <f>SUM(G77:G88)</f>
        <v>1920165.2847140983</v>
      </c>
      <c r="I88" s="74">
        <f>D14*1000</f>
        <v>2222600</v>
      </c>
      <c r="J88" s="24">
        <f>H88-I88</f>
        <v>-302434.7152859017</v>
      </c>
      <c r="K88" s="24">
        <f>O76</f>
        <v>335132.1134378603</v>
      </c>
      <c r="L88" s="28">
        <f>H88+K88</f>
        <v>2255297.3981519584</v>
      </c>
      <c r="M88" s="55">
        <f>L88/I88</f>
        <v>1.01471132824258</v>
      </c>
      <c r="N88" s="61">
        <f>IF(I88&gt;L88,I88-L88,0)</f>
        <v>0</v>
      </c>
      <c r="O88" s="62">
        <f>IF((L88-I88)&gt;0,L88-I88,0)</f>
        <v>32697.39815195836</v>
      </c>
      <c r="P88" s="63"/>
      <c r="Q88" s="63"/>
    </row>
    <row r="89" spans="1:15" ht="15">
      <c r="A89" s="6"/>
      <c r="B89" s="3" t="s">
        <v>12</v>
      </c>
      <c r="C89" s="50">
        <v>1215</v>
      </c>
      <c r="D89" s="46">
        <f>130*C89/1165</f>
        <v>135.57939914163092</v>
      </c>
      <c r="E89" s="70">
        <v>20000</v>
      </c>
      <c r="F89" s="19">
        <f t="shared" si="7"/>
        <v>1698165.7829999998</v>
      </c>
      <c r="G89" s="20">
        <f t="shared" si="5"/>
        <v>230236.29650201718</v>
      </c>
      <c r="H89" s="25"/>
      <c r="I89" s="75"/>
      <c r="J89" s="25"/>
      <c r="K89" s="25"/>
      <c r="L89" s="77"/>
      <c r="M89" s="25"/>
      <c r="N89" s="60"/>
      <c r="O89" s="59"/>
    </row>
    <row r="90" spans="1:15" ht="15">
      <c r="A90" s="7"/>
      <c r="B90" s="4" t="s">
        <v>13</v>
      </c>
      <c r="C90" s="22"/>
      <c r="D90" s="47">
        <f>133*C89/1165</f>
        <v>138.70815450643778</v>
      </c>
      <c r="E90" s="69">
        <f>$E$89</f>
        <v>20000</v>
      </c>
      <c r="F90" s="2">
        <f t="shared" si="7"/>
        <v>1718165.7829999998</v>
      </c>
      <c r="G90" s="21">
        <f t="shared" si="5"/>
        <v>238323.60489603863</v>
      </c>
      <c r="H90" s="22"/>
      <c r="I90" s="73"/>
      <c r="J90" s="22"/>
      <c r="K90" s="22"/>
      <c r="L90" s="78"/>
      <c r="M90" s="22"/>
      <c r="N90" s="60"/>
      <c r="O90" s="59"/>
    </row>
    <row r="91" spans="1:15" ht="15">
      <c r="A91" s="7"/>
      <c r="B91" s="4" t="s">
        <v>14</v>
      </c>
      <c r="C91" s="22"/>
      <c r="D91" s="47">
        <f>127*C89/1165</f>
        <v>132.45064377682402</v>
      </c>
      <c r="E91" s="69">
        <f aca="true" t="shared" si="9" ref="E91:E100">$E$89</f>
        <v>20000</v>
      </c>
      <c r="F91" s="2">
        <f t="shared" si="7"/>
        <v>1738165.7829999998</v>
      </c>
      <c r="G91" s="21">
        <f t="shared" si="5"/>
        <v>230221.17694919737</v>
      </c>
      <c r="H91" s="22"/>
      <c r="I91" s="73"/>
      <c r="J91" s="22"/>
      <c r="K91" s="22"/>
      <c r="L91" s="78"/>
      <c r="M91" s="22"/>
      <c r="N91" s="60"/>
      <c r="O91" s="59"/>
    </row>
    <row r="92" spans="1:15" ht="15">
      <c r="A92" s="7"/>
      <c r="B92" s="4" t="s">
        <v>15</v>
      </c>
      <c r="C92" s="22"/>
      <c r="D92" s="47">
        <f>102*C89/1165</f>
        <v>106.37768240343348</v>
      </c>
      <c r="E92" s="69">
        <f t="shared" si="9"/>
        <v>20000</v>
      </c>
      <c r="F92" s="2">
        <f t="shared" si="7"/>
        <v>1758165.7829999998</v>
      </c>
      <c r="G92" s="21">
        <f t="shared" si="5"/>
        <v>187029.60127655792</v>
      </c>
      <c r="H92" s="22"/>
      <c r="I92" s="73"/>
      <c r="J92" s="22"/>
      <c r="K92" s="22"/>
      <c r="L92" s="78"/>
      <c r="M92" s="22"/>
      <c r="N92" s="60"/>
      <c r="O92" s="59"/>
    </row>
    <row r="93" spans="1:15" ht="15">
      <c r="A93" s="7"/>
      <c r="B93" s="4" t="s">
        <v>16</v>
      </c>
      <c r="C93" s="22"/>
      <c r="D93" s="47">
        <f>88*C89/1165</f>
        <v>91.77682403433477</v>
      </c>
      <c r="E93" s="69">
        <f t="shared" si="9"/>
        <v>20000</v>
      </c>
      <c r="F93" s="2">
        <f t="shared" si="7"/>
        <v>1778165.7829999998</v>
      </c>
      <c r="G93" s="21">
        <f aca="true" t="shared" si="10" ref="G93:G124">D93*F93/1000</f>
        <v>163194.4081702661</v>
      </c>
      <c r="H93" s="22"/>
      <c r="I93" s="73"/>
      <c r="J93" s="22"/>
      <c r="K93" s="22"/>
      <c r="L93" s="78"/>
      <c r="M93" s="22"/>
      <c r="N93" s="60"/>
      <c r="O93" s="59"/>
    </row>
    <row r="94" spans="1:15" ht="15">
      <c r="A94" s="8" t="s">
        <v>24</v>
      </c>
      <c r="B94" s="4" t="s">
        <v>18</v>
      </c>
      <c r="C94" s="22"/>
      <c r="D94" s="47">
        <f>59*C89/1165</f>
        <v>61.532188841201716</v>
      </c>
      <c r="E94" s="69">
        <f t="shared" si="9"/>
        <v>20000</v>
      </c>
      <c r="F94" s="2">
        <f t="shared" si="7"/>
        <v>1798165.7829999998</v>
      </c>
      <c r="G94" s="21">
        <f t="shared" si="10"/>
        <v>110645.07652734334</v>
      </c>
      <c r="H94" s="22"/>
      <c r="I94" s="73"/>
      <c r="J94" s="22"/>
      <c r="K94" s="22"/>
      <c r="L94" s="78"/>
      <c r="M94" s="22"/>
      <c r="N94" s="60"/>
      <c r="O94" s="59"/>
    </row>
    <row r="95" spans="1:15" ht="15">
      <c r="A95" s="7"/>
      <c r="B95" s="4" t="s">
        <v>19</v>
      </c>
      <c r="C95" s="22"/>
      <c r="D95" s="47">
        <f>46*C89/1165</f>
        <v>47.97424892703863</v>
      </c>
      <c r="E95" s="69">
        <f t="shared" si="9"/>
        <v>20000</v>
      </c>
      <c r="F95" s="2">
        <f t="shared" si="7"/>
        <v>1818165.7829999998</v>
      </c>
      <c r="G95" s="21">
        <f t="shared" si="10"/>
        <v>87225.1378642661</v>
      </c>
      <c r="H95" s="22"/>
      <c r="I95" s="73"/>
      <c r="J95" s="22"/>
      <c r="K95" s="22"/>
      <c r="L95" s="78"/>
      <c r="M95" s="22"/>
      <c r="N95" s="60"/>
      <c r="O95" s="59"/>
    </row>
    <row r="96" spans="1:15" ht="15">
      <c r="A96" s="7"/>
      <c r="B96" s="4" t="s">
        <v>7</v>
      </c>
      <c r="C96" s="22"/>
      <c r="D96" s="47">
        <f>59*C89/1165</f>
        <v>61.532188841201716</v>
      </c>
      <c r="E96" s="69">
        <f t="shared" si="9"/>
        <v>20000</v>
      </c>
      <c r="F96" s="2">
        <f t="shared" si="7"/>
        <v>1838165.7829999998</v>
      </c>
      <c r="G96" s="21">
        <f t="shared" si="10"/>
        <v>113106.3640809914</v>
      </c>
      <c r="H96" s="22"/>
      <c r="I96" s="73"/>
      <c r="J96" s="22"/>
      <c r="K96" s="22"/>
      <c r="L96" s="78"/>
      <c r="M96" s="22"/>
      <c r="N96" s="60"/>
      <c r="O96" s="59"/>
    </row>
    <row r="97" spans="1:15" ht="15">
      <c r="A97" s="7"/>
      <c r="B97" s="4" t="s">
        <v>8</v>
      </c>
      <c r="C97" s="22"/>
      <c r="D97" s="47">
        <f>75*C89/1165</f>
        <v>78.21888412017168</v>
      </c>
      <c r="E97" s="69">
        <f t="shared" si="9"/>
        <v>20000</v>
      </c>
      <c r="F97" s="2">
        <f t="shared" si="7"/>
        <v>1858165.7829999998</v>
      </c>
      <c r="G97" s="21">
        <f t="shared" si="10"/>
        <v>145343.65405654506</v>
      </c>
      <c r="H97" s="22"/>
      <c r="I97" s="73"/>
      <c r="J97" s="22"/>
      <c r="K97" s="22"/>
      <c r="L97" s="78"/>
      <c r="M97" s="22"/>
      <c r="N97" s="60"/>
      <c r="O97" s="59"/>
    </row>
    <row r="98" spans="1:15" ht="15">
      <c r="A98" s="7"/>
      <c r="B98" s="4" t="s">
        <v>9</v>
      </c>
      <c r="C98" s="22"/>
      <c r="D98" s="47">
        <f>103*C89/1165</f>
        <v>107.4206008583691</v>
      </c>
      <c r="E98" s="69">
        <f t="shared" si="9"/>
        <v>20000</v>
      </c>
      <c r="F98" s="2">
        <f t="shared" si="7"/>
        <v>1878165.7829999998</v>
      </c>
      <c r="G98" s="21">
        <f t="shared" si="10"/>
        <v>201753.69692148923</v>
      </c>
      <c r="H98" s="22"/>
      <c r="I98" s="73"/>
      <c r="J98" s="22"/>
      <c r="K98" s="22"/>
      <c r="L98" s="78"/>
      <c r="M98" s="22"/>
      <c r="N98" s="60"/>
      <c r="O98" s="59"/>
    </row>
    <row r="99" spans="1:15" ht="15">
      <c r="A99" s="7"/>
      <c r="B99" s="4" t="s">
        <v>10</v>
      </c>
      <c r="C99" s="22"/>
      <c r="D99" s="47">
        <f>115*C89/1165</f>
        <v>119.93562231759657</v>
      </c>
      <c r="E99" s="69">
        <f t="shared" si="9"/>
        <v>20000</v>
      </c>
      <c r="F99" s="2">
        <f t="shared" si="7"/>
        <v>1898165.7829999998</v>
      </c>
      <c r="G99" s="21">
        <f t="shared" si="10"/>
        <v>227657.69444607294</v>
      </c>
      <c r="H99" s="22"/>
      <c r="I99" s="73"/>
      <c r="J99" s="22"/>
      <c r="K99" s="22"/>
      <c r="L99" s="78"/>
      <c r="M99" s="22"/>
      <c r="N99" s="60"/>
      <c r="O99" s="59"/>
    </row>
    <row r="100" spans="1:17" ht="15">
      <c r="A100" s="9"/>
      <c r="B100" s="5" t="s">
        <v>11</v>
      </c>
      <c r="C100" s="49"/>
      <c r="D100" s="48">
        <f>128*C89/1165</f>
        <v>133.49356223175965</v>
      </c>
      <c r="E100" s="69">
        <f t="shared" si="9"/>
        <v>20000</v>
      </c>
      <c r="F100" s="23">
        <f t="shared" si="7"/>
        <v>1918165.7829999998</v>
      </c>
      <c r="G100" s="24">
        <f t="shared" si="10"/>
        <v>256062.78332374245</v>
      </c>
      <c r="H100" s="24">
        <f>SUM(G89:G100)</f>
        <v>2190799.495014528</v>
      </c>
      <c r="I100" s="74">
        <f>D15*1000</f>
        <v>2454700</v>
      </c>
      <c r="J100" s="24">
        <f>H100-I100</f>
        <v>-263900.5049854722</v>
      </c>
      <c r="K100" s="24">
        <f>O88</f>
        <v>32697.39815195836</v>
      </c>
      <c r="L100" s="28">
        <f>H100+K100</f>
        <v>2223496.893166486</v>
      </c>
      <c r="M100" s="55">
        <f>L100/I100</f>
        <v>0.9058120720114418</v>
      </c>
      <c r="N100" s="61">
        <f>IF(I100&gt;L100,I100-L100,0)</f>
        <v>231203.10683351383</v>
      </c>
      <c r="O100" s="62">
        <f>IF((L100-I100)&gt;0,L100-I100,0)</f>
        <v>0</v>
      </c>
      <c r="P100" s="63"/>
      <c r="Q100" s="63"/>
    </row>
    <row r="101" spans="1:15" ht="15">
      <c r="A101" s="6"/>
      <c r="B101" s="3" t="s">
        <v>12</v>
      </c>
      <c r="C101" s="50">
        <v>1215</v>
      </c>
      <c r="D101" s="46">
        <f>130*C101/1165</f>
        <v>135.57939914163092</v>
      </c>
      <c r="E101" s="70">
        <v>20000</v>
      </c>
      <c r="F101" s="19">
        <f t="shared" si="7"/>
        <v>1938165.7829999998</v>
      </c>
      <c r="G101" s="20">
        <f t="shared" si="10"/>
        <v>262775.3522960086</v>
      </c>
      <c r="H101" s="25"/>
      <c r="I101" s="75"/>
      <c r="J101" s="25"/>
      <c r="K101" s="25"/>
      <c r="L101" s="77"/>
      <c r="M101" s="25"/>
      <c r="N101" s="60"/>
      <c r="O101" s="59"/>
    </row>
    <row r="102" spans="1:15" ht="15">
      <c r="A102" s="7"/>
      <c r="B102" s="4" t="s">
        <v>13</v>
      </c>
      <c r="C102" s="22"/>
      <c r="D102" s="47">
        <f>133*C101/1165</f>
        <v>138.70815450643778</v>
      </c>
      <c r="E102" s="69">
        <f>$E$101</f>
        <v>20000</v>
      </c>
      <c r="F102" s="2">
        <f t="shared" si="7"/>
        <v>1958165.7829999998</v>
      </c>
      <c r="G102" s="21">
        <f t="shared" si="10"/>
        <v>271613.5619775837</v>
      </c>
      <c r="H102" s="22"/>
      <c r="I102" s="73"/>
      <c r="J102" s="22"/>
      <c r="K102" s="22"/>
      <c r="L102" s="78"/>
      <c r="M102" s="22"/>
      <c r="N102" s="60"/>
      <c r="O102" s="59"/>
    </row>
    <row r="103" spans="1:15" ht="15">
      <c r="A103" s="7"/>
      <c r="B103" s="4" t="s">
        <v>14</v>
      </c>
      <c r="C103" s="22"/>
      <c r="D103" s="47">
        <f>127*C101/1165</f>
        <v>132.45064377682402</v>
      </c>
      <c r="E103" s="69">
        <f aca="true" t="shared" si="11" ref="E103:E112">$E$101</f>
        <v>20000</v>
      </c>
      <c r="F103" s="2">
        <f t="shared" si="7"/>
        <v>1978165.7829999998</v>
      </c>
      <c r="G103" s="21">
        <f t="shared" si="10"/>
        <v>262009.33145563517</v>
      </c>
      <c r="H103" s="22"/>
      <c r="I103" s="73"/>
      <c r="J103" s="22"/>
      <c r="K103" s="22"/>
      <c r="L103" s="78"/>
      <c r="M103" s="22"/>
      <c r="N103" s="60"/>
      <c r="O103" s="59"/>
    </row>
    <row r="104" spans="1:15" ht="15">
      <c r="A104" s="7"/>
      <c r="B104" s="4" t="s">
        <v>15</v>
      </c>
      <c r="C104" s="22"/>
      <c r="D104" s="47">
        <f>102*C101/1165</f>
        <v>106.37768240343348</v>
      </c>
      <c r="E104" s="69">
        <f t="shared" si="11"/>
        <v>20000</v>
      </c>
      <c r="F104" s="2">
        <f t="shared" si="7"/>
        <v>1998165.7829999998</v>
      </c>
      <c r="G104" s="21">
        <f t="shared" si="10"/>
        <v>212560.24505338198</v>
      </c>
      <c r="H104" s="22"/>
      <c r="I104" s="73"/>
      <c r="J104" s="22"/>
      <c r="K104" s="22"/>
      <c r="L104" s="78"/>
      <c r="M104" s="22"/>
      <c r="N104" s="60"/>
      <c r="O104" s="59"/>
    </row>
    <row r="105" spans="1:15" ht="15">
      <c r="A105" s="7"/>
      <c r="B105" s="4" t="s">
        <v>16</v>
      </c>
      <c r="C105" s="22"/>
      <c r="D105" s="47">
        <f>88*C101/1165</f>
        <v>91.77682403433477</v>
      </c>
      <c r="E105" s="69">
        <f t="shared" si="11"/>
        <v>20000</v>
      </c>
      <c r="F105" s="2">
        <f aca="true" t="shared" si="12" ref="F105:F136">F104+E105</f>
        <v>2018165.7829999998</v>
      </c>
      <c r="G105" s="21">
        <f t="shared" si="10"/>
        <v>185220.84593850642</v>
      </c>
      <c r="H105" s="22"/>
      <c r="I105" s="73"/>
      <c r="J105" s="22"/>
      <c r="K105" s="22"/>
      <c r="L105" s="78"/>
      <c r="M105" s="22"/>
      <c r="N105" s="60"/>
      <c r="O105" s="59"/>
    </row>
    <row r="106" spans="1:15" ht="15">
      <c r="A106" s="8" t="s">
        <v>25</v>
      </c>
      <c r="B106" s="4" t="s">
        <v>18</v>
      </c>
      <c r="C106" s="22"/>
      <c r="D106" s="47">
        <f>59*C101/1165</f>
        <v>61.532188841201716</v>
      </c>
      <c r="E106" s="69">
        <f t="shared" si="11"/>
        <v>20000</v>
      </c>
      <c r="F106" s="2">
        <f t="shared" si="12"/>
        <v>2038165.7829999998</v>
      </c>
      <c r="G106" s="21">
        <f t="shared" si="10"/>
        <v>125412.80184923175</v>
      </c>
      <c r="H106" s="22"/>
      <c r="I106" s="73"/>
      <c r="J106" s="22"/>
      <c r="K106" s="22"/>
      <c r="L106" s="78"/>
      <c r="M106" s="22"/>
      <c r="N106" s="60"/>
      <c r="O106" s="59"/>
    </row>
    <row r="107" spans="1:15" ht="15">
      <c r="A107" s="7"/>
      <c r="B107" s="4" t="s">
        <v>19</v>
      </c>
      <c r="C107" s="22"/>
      <c r="D107" s="47">
        <f>46*C101/1165</f>
        <v>47.97424892703863</v>
      </c>
      <c r="E107" s="69">
        <f t="shared" si="11"/>
        <v>20000</v>
      </c>
      <c r="F107" s="2">
        <f t="shared" si="12"/>
        <v>2058165.7829999998</v>
      </c>
      <c r="G107" s="21">
        <f t="shared" si="10"/>
        <v>98738.95760675536</v>
      </c>
      <c r="H107" s="22"/>
      <c r="I107" s="73"/>
      <c r="J107" s="22"/>
      <c r="K107" s="22"/>
      <c r="L107" s="78"/>
      <c r="M107" s="22"/>
      <c r="N107" s="60"/>
      <c r="O107" s="59"/>
    </row>
    <row r="108" spans="1:15" ht="15">
      <c r="A108" s="7"/>
      <c r="B108" s="4" t="s">
        <v>7</v>
      </c>
      <c r="C108" s="22"/>
      <c r="D108" s="47">
        <f>59*C101/1165</f>
        <v>61.532188841201716</v>
      </c>
      <c r="E108" s="69">
        <f t="shared" si="11"/>
        <v>20000</v>
      </c>
      <c r="F108" s="2">
        <f t="shared" si="12"/>
        <v>2078165.7829999998</v>
      </c>
      <c r="G108" s="21">
        <f t="shared" si="10"/>
        <v>127874.08940287982</v>
      </c>
      <c r="H108" s="22"/>
      <c r="I108" s="73"/>
      <c r="J108" s="22"/>
      <c r="K108" s="22"/>
      <c r="L108" s="78"/>
      <c r="M108" s="22"/>
      <c r="N108" s="60"/>
      <c r="O108" s="59"/>
    </row>
    <row r="109" spans="1:15" ht="15">
      <c r="A109" s="7"/>
      <c r="B109" s="4" t="s">
        <v>8</v>
      </c>
      <c r="C109" s="22"/>
      <c r="D109" s="47">
        <f>75*C101/1165</f>
        <v>78.21888412017168</v>
      </c>
      <c r="E109" s="69">
        <f t="shared" si="11"/>
        <v>20000</v>
      </c>
      <c r="F109" s="2">
        <f t="shared" si="12"/>
        <v>2098165.783</v>
      </c>
      <c r="G109" s="21">
        <f t="shared" si="10"/>
        <v>164116.18624538629</v>
      </c>
      <c r="H109" s="22"/>
      <c r="I109" s="73"/>
      <c r="J109" s="22"/>
      <c r="K109" s="22"/>
      <c r="L109" s="78"/>
      <c r="M109" s="22"/>
      <c r="N109" s="60"/>
      <c r="O109" s="59"/>
    </row>
    <row r="110" spans="1:15" ht="15">
      <c r="A110" s="7"/>
      <c r="B110" s="4" t="s">
        <v>9</v>
      </c>
      <c r="C110" s="22"/>
      <c r="D110" s="47">
        <f>103*C101/1165</f>
        <v>107.4206008583691</v>
      </c>
      <c r="E110" s="69">
        <f t="shared" si="11"/>
        <v>20000</v>
      </c>
      <c r="F110" s="2">
        <f t="shared" si="12"/>
        <v>2118165.783</v>
      </c>
      <c r="G110" s="21">
        <f t="shared" si="10"/>
        <v>227534.64112749783</v>
      </c>
      <c r="H110" s="22"/>
      <c r="I110" s="73"/>
      <c r="J110" s="22"/>
      <c r="K110" s="22"/>
      <c r="L110" s="78"/>
      <c r="M110" s="22"/>
      <c r="N110" s="60"/>
      <c r="O110" s="59"/>
    </row>
    <row r="111" spans="1:15" ht="15">
      <c r="A111" s="7"/>
      <c r="B111" s="4" t="s">
        <v>10</v>
      </c>
      <c r="C111" s="22"/>
      <c r="D111" s="47">
        <f>115*C101/1165</f>
        <v>119.93562231759657</v>
      </c>
      <c r="E111" s="69">
        <f t="shared" si="11"/>
        <v>20000</v>
      </c>
      <c r="F111" s="2">
        <f t="shared" si="12"/>
        <v>2138165.783</v>
      </c>
      <c r="G111" s="21">
        <f t="shared" si="10"/>
        <v>256442.24380229614</v>
      </c>
      <c r="H111" s="22"/>
      <c r="I111" s="73"/>
      <c r="J111" s="22"/>
      <c r="K111" s="22"/>
      <c r="L111" s="78"/>
      <c r="M111" s="22"/>
      <c r="N111" s="60"/>
      <c r="O111" s="59"/>
    </row>
    <row r="112" spans="1:17" ht="15">
      <c r="A112" s="9"/>
      <c r="B112" s="5" t="s">
        <v>11</v>
      </c>
      <c r="C112" s="49"/>
      <c r="D112" s="48">
        <f>128*C101/1165</f>
        <v>133.49356223175965</v>
      </c>
      <c r="E112" s="69">
        <f t="shared" si="11"/>
        <v>20000</v>
      </c>
      <c r="F112" s="23">
        <f t="shared" si="12"/>
        <v>2158165.783</v>
      </c>
      <c r="G112" s="24">
        <f t="shared" si="10"/>
        <v>288101.2382593648</v>
      </c>
      <c r="H112" s="24">
        <f>SUM(G101:G112)</f>
        <v>2482399.495014528</v>
      </c>
      <c r="I112" s="74">
        <f>D16*1000</f>
        <v>2650900</v>
      </c>
      <c r="J112" s="24">
        <f>H112-I112</f>
        <v>-168500.5049854722</v>
      </c>
      <c r="K112" s="24">
        <f>O100</f>
        <v>0</v>
      </c>
      <c r="L112" s="28">
        <f>H112+K112</f>
        <v>2482399.495014528</v>
      </c>
      <c r="M112" s="55">
        <f>L112/I112</f>
        <v>0.9364364913857662</v>
      </c>
      <c r="N112" s="61">
        <f>IF(I112&gt;L112,I112-L112,0)</f>
        <v>168500.5049854722</v>
      </c>
      <c r="O112" s="62">
        <f>IF((L112-I112)&gt;0,L112-I112,0)</f>
        <v>0</v>
      </c>
      <c r="P112" s="63"/>
      <c r="Q112" s="63"/>
    </row>
    <row r="113" spans="1:15" ht="15">
      <c r="A113" s="6"/>
      <c r="B113" s="3" t="s">
        <v>12</v>
      </c>
      <c r="C113" s="50">
        <v>1215</v>
      </c>
      <c r="D113" s="46">
        <f>130*C113/1165</f>
        <v>135.57939914163092</v>
      </c>
      <c r="E113" s="70">
        <v>17000</v>
      </c>
      <c r="F113" s="19">
        <f t="shared" si="12"/>
        <v>2175165.783</v>
      </c>
      <c r="G113" s="20">
        <f t="shared" si="10"/>
        <v>294907.66989257507</v>
      </c>
      <c r="H113" s="25"/>
      <c r="I113" s="75"/>
      <c r="J113" s="25"/>
      <c r="K113" s="25"/>
      <c r="L113" s="77"/>
      <c r="M113" s="25"/>
      <c r="N113" s="60"/>
      <c r="O113" s="59"/>
    </row>
    <row r="114" spans="1:15" ht="15">
      <c r="A114" s="7"/>
      <c r="B114" s="4" t="s">
        <v>13</v>
      </c>
      <c r="C114" s="22"/>
      <c r="D114" s="47">
        <f>133*C113/1165</f>
        <v>138.70815450643778</v>
      </c>
      <c r="E114" s="69">
        <f>$E$113</f>
        <v>17000</v>
      </c>
      <c r="F114" s="2">
        <f t="shared" si="12"/>
        <v>2192165.783</v>
      </c>
      <c r="G114" s="21">
        <f t="shared" si="10"/>
        <v>304071.27013209014</v>
      </c>
      <c r="H114" s="22"/>
      <c r="I114" s="73"/>
      <c r="J114" s="22"/>
      <c r="K114" s="22"/>
      <c r="L114" s="78"/>
      <c r="M114" s="22"/>
      <c r="N114" s="60"/>
      <c r="O114" s="59"/>
    </row>
    <row r="115" spans="1:15" ht="15">
      <c r="A115" s="7"/>
      <c r="B115" s="4" t="s">
        <v>14</v>
      </c>
      <c r="C115" s="22"/>
      <c r="D115" s="47">
        <f>127*C113/1165</f>
        <v>132.45064377682402</v>
      </c>
      <c r="E115" s="69">
        <f aca="true" t="shared" si="13" ref="E115:E124">$E$113</f>
        <v>17000</v>
      </c>
      <c r="F115" s="2">
        <f t="shared" si="12"/>
        <v>2209165.783</v>
      </c>
      <c r="G115" s="21">
        <f t="shared" si="10"/>
        <v>292605.43016808154</v>
      </c>
      <c r="H115" s="22"/>
      <c r="I115" s="73"/>
      <c r="J115" s="22"/>
      <c r="K115" s="22"/>
      <c r="L115" s="78"/>
      <c r="M115" s="22"/>
      <c r="N115" s="60"/>
      <c r="O115" s="59"/>
    </row>
    <row r="116" spans="1:15" ht="15">
      <c r="A116" s="7"/>
      <c r="B116" s="4" t="s">
        <v>15</v>
      </c>
      <c r="C116" s="22"/>
      <c r="D116" s="47">
        <f>102*C113/1165</f>
        <v>106.37768240343348</v>
      </c>
      <c r="E116" s="69">
        <f t="shared" si="13"/>
        <v>17000</v>
      </c>
      <c r="F116" s="2">
        <f t="shared" si="12"/>
        <v>2226165.783</v>
      </c>
      <c r="G116" s="21">
        <f t="shared" si="10"/>
        <v>236814.3566413648</v>
      </c>
      <c r="H116" s="22"/>
      <c r="I116" s="73"/>
      <c r="J116" s="22"/>
      <c r="K116" s="22"/>
      <c r="L116" s="78"/>
      <c r="M116" s="22"/>
      <c r="N116" s="60"/>
      <c r="O116" s="59"/>
    </row>
    <row r="117" spans="1:15" ht="15">
      <c r="A117" s="7"/>
      <c r="B117" s="4" t="s">
        <v>16</v>
      </c>
      <c r="C117" s="22"/>
      <c r="D117" s="47">
        <f>88*C113/1165</f>
        <v>91.77682403433477</v>
      </c>
      <c r="E117" s="69">
        <f t="shared" si="13"/>
        <v>17000</v>
      </c>
      <c r="F117" s="2">
        <f t="shared" si="12"/>
        <v>2243165.783</v>
      </c>
      <c r="G117" s="21">
        <f t="shared" si="10"/>
        <v>205870.63134623176</v>
      </c>
      <c r="H117" s="22"/>
      <c r="I117" s="73"/>
      <c r="J117" s="22"/>
      <c r="K117" s="22"/>
      <c r="L117" s="78"/>
      <c r="M117" s="22"/>
      <c r="N117" s="60"/>
      <c r="O117" s="59"/>
    </row>
    <row r="118" spans="1:15" ht="15">
      <c r="A118" s="8" t="s">
        <v>26</v>
      </c>
      <c r="B118" s="4" t="s">
        <v>18</v>
      </c>
      <c r="C118" s="22"/>
      <c r="D118" s="47">
        <f>59*C113/1165</f>
        <v>61.532188841201716</v>
      </c>
      <c r="E118" s="69">
        <f t="shared" si="13"/>
        <v>17000</v>
      </c>
      <c r="F118" s="2">
        <f t="shared" si="12"/>
        <v>2260165.783</v>
      </c>
      <c r="G118" s="21">
        <f t="shared" si="10"/>
        <v>139072.94777197854</v>
      </c>
      <c r="H118" s="22"/>
      <c r="I118" s="73"/>
      <c r="J118" s="22"/>
      <c r="K118" s="22"/>
      <c r="L118" s="78"/>
      <c r="M118" s="22"/>
      <c r="N118" s="60"/>
      <c r="O118" s="59"/>
    </row>
    <row r="119" spans="1:15" ht="15">
      <c r="A119" s="7"/>
      <c r="B119" s="4" t="s">
        <v>19</v>
      </c>
      <c r="C119" s="22"/>
      <c r="D119" s="47">
        <f>46*C113/1165</f>
        <v>47.97424892703863</v>
      </c>
      <c r="E119" s="69">
        <f t="shared" si="13"/>
        <v>17000</v>
      </c>
      <c r="F119" s="2">
        <f t="shared" si="12"/>
        <v>2277165.783</v>
      </c>
      <c r="G119" s="21">
        <f t="shared" si="10"/>
        <v>109245.31812177681</v>
      </c>
      <c r="H119" s="22"/>
      <c r="I119" s="73"/>
      <c r="J119" s="22"/>
      <c r="K119" s="22"/>
      <c r="L119" s="78"/>
      <c r="M119" s="22"/>
      <c r="N119" s="60"/>
      <c r="O119" s="59"/>
    </row>
    <row r="120" spans="1:15" ht="15">
      <c r="A120" s="7"/>
      <c r="B120" s="4" t="s">
        <v>7</v>
      </c>
      <c r="C120" s="22"/>
      <c r="D120" s="47">
        <f>59*C113/1165</f>
        <v>61.532188841201716</v>
      </c>
      <c r="E120" s="69">
        <f t="shared" si="13"/>
        <v>17000</v>
      </c>
      <c r="F120" s="2">
        <f t="shared" si="12"/>
        <v>2294165.783</v>
      </c>
      <c r="G120" s="21">
        <f t="shared" si="10"/>
        <v>141165.0421925794</v>
      </c>
      <c r="H120" s="22"/>
      <c r="I120" s="73"/>
      <c r="J120" s="22"/>
      <c r="K120" s="22"/>
      <c r="L120" s="78"/>
      <c r="M120" s="22"/>
      <c r="N120" s="60"/>
      <c r="O120" s="59"/>
    </row>
    <row r="121" spans="1:15" ht="15">
      <c r="A121" s="7"/>
      <c r="B121" s="4" t="s">
        <v>8</v>
      </c>
      <c r="C121" s="22"/>
      <c r="D121" s="47">
        <f>75*C113/1165</f>
        <v>78.21888412017168</v>
      </c>
      <c r="E121" s="69">
        <f t="shared" si="13"/>
        <v>17000</v>
      </c>
      <c r="F121" s="2">
        <f t="shared" si="12"/>
        <v>2311165.783</v>
      </c>
      <c r="G121" s="21">
        <f t="shared" si="10"/>
        <v>180776.80856298283</v>
      </c>
      <c r="H121" s="22"/>
      <c r="I121" s="73"/>
      <c r="J121" s="22"/>
      <c r="K121" s="22"/>
      <c r="L121" s="78"/>
      <c r="M121" s="22"/>
      <c r="N121" s="60"/>
      <c r="O121" s="59"/>
    </row>
    <row r="122" spans="1:15" ht="15">
      <c r="A122" s="7"/>
      <c r="B122" s="4" t="s">
        <v>9</v>
      </c>
      <c r="C122" s="22"/>
      <c r="D122" s="47">
        <f>103*C113/1165</f>
        <v>107.4206008583691</v>
      </c>
      <c r="E122" s="69">
        <f t="shared" si="13"/>
        <v>17000</v>
      </c>
      <c r="F122" s="2">
        <f t="shared" si="12"/>
        <v>2328165.783</v>
      </c>
      <c r="G122" s="21">
        <f t="shared" si="10"/>
        <v>250092.96730775535</v>
      </c>
      <c r="H122" s="22"/>
      <c r="I122" s="73"/>
      <c r="J122" s="22"/>
      <c r="K122" s="22"/>
      <c r="L122" s="78"/>
      <c r="M122" s="22"/>
      <c r="N122" s="60"/>
      <c r="O122" s="59"/>
    </row>
    <row r="123" spans="1:15" ht="15">
      <c r="A123" s="7"/>
      <c r="B123" s="4" t="s">
        <v>10</v>
      </c>
      <c r="C123" s="22"/>
      <c r="D123" s="47">
        <f>115*C113/1165</f>
        <v>119.93562231759657</v>
      </c>
      <c r="E123" s="69">
        <f t="shared" si="13"/>
        <v>17000</v>
      </c>
      <c r="F123" s="2">
        <f t="shared" si="12"/>
        <v>2345165.783</v>
      </c>
      <c r="G123" s="21">
        <f t="shared" si="10"/>
        <v>281268.9176220386</v>
      </c>
      <c r="H123" s="22"/>
      <c r="I123" s="73"/>
      <c r="J123" s="22"/>
      <c r="K123" s="22"/>
      <c r="L123" s="78"/>
      <c r="M123" s="22"/>
      <c r="N123" s="60"/>
      <c r="O123" s="59"/>
    </row>
    <row r="124" spans="1:15" ht="15">
      <c r="A124" s="9"/>
      <c r="B124" s="5" t="s">
        <v>11</v>
      </c>
      <c r="C124" s="49"/>
      <c r="D124" s="48">
        <f>128*C113/1165</f>
        <v>133.49356223175965</v>
      </c>
      <c r="E124" s="69">
        <f t="shared" si="13"/>
        <v>17000</v>
      </c>
      <c r="F124" s="23">
        <f t="shared" si="12"/>
        <v>2362165.783</v>
      </c>
      <c r="G124" s="24">
        <f t="shared" si="10"/>
        <v>315333.9249546437</v>
      </c>
      <c r="H124" s="24">
        <f>SUM(G113:G124)</f>
        <v>2751225.284714099</v>
      </c>
      <c r="I124" s="74">
        <f>D17*1000</f>
        <v>2759200</v>
      </c>
      <c r="J124" s="24">
        <f>H124-I124</f>
        <v>-7974.71528590098</v>
      </c>
      <c r="K124" s="24">
        <f>O112</f>
        <v>0</v>
      </c>
      <c r="L124" s="28">
        <f>H124+K124</f>
        <v>2751225.284714099</v>
      </c>
      <c r="M124" s="55">
        <f>L124/I124</f>
        <v>0.997109772656603</v>
      </c>
      <c r="N124" s="61">
        <f>IF(I124&gt;L124,I124-L124,0)</f>
        <v>7974.71528590098</v>
      </c>
      <c r="O124" s="62">
        <f>IF((L124-I124)&gt;0,L124-I124,0)</f>
        <v>0</v>
      </c>
    </row>
    <row r="125" spans="1:15" ht="15">
      <c r="A125" s="6"/>
      <c r="B125" s="3" t="s">
        <v>12</v>
      </c>
      <c r="C125" s="50">
        <v>1215</v>
      </c>
      <c r="D125" s="46">
        <f>130*C125/1165</f>
        <v>135.57939914163092</v>
      </c>
      <c r="E125" s="70">
        <v>0</v>
      </c>
      <c r="F125" s="19">
        <f t="shared" si="12"/>
        <v>2362165.783</v>
      </c>
      <c r="G125" s="20">
        <f aca="true" t="shared" si="14" ref="G125:G148">D125*F125/1000</f>
        <v>320261.0175320601</v>
      </c>
      <c r="H125" s="25"/>
      <c r="I125" s="75"/>
      <c r="J125" s="25"/>
      <c r="K125" s="25"/>
      <c r="L125" s="77"/>
      <c r="M125" s="25"/>
      <c r="N125" s="60"/>
      <c r="O125" s="59"/>
    </row>
    <row r="126" spans="1:15" ht="15">
      <c r="A126" s="7"/>
      <c r="B126" s="4" t="s">
        <v>13</v>
      </c>
      <c r="C126" s="22"/>
      <c r="D126" s="47">
        <f>133*C125/1165</f>
        <v>138.70815450643778</v>
      </c>
      <c r="E126" s="69">
        <f>$E$125</f>
        <v>0</v>
      </c>
      <c r="F126" s="2">
        <f t="shared" si="12"/>
        <v>2362165.783</v>
      </c>
      <c r="G126" s="21">
        <f t="shared" si="14"/>
        <v>327651.65639818454</v>
      </c>
      <c r="H126" s="22"/>
      <c r="I126" s="73"/>
      <c r="J126" s="22"/>
      <c r="K126" s="22"/>
      <c r="L126" s="78"/>
      <c r="M126" s="22"/>
      <c r="N126" s="60"/>
      <c r="O126" s="59"/>
    </row>
    <row r="127" spans="1:15" ht="15">
      <c r="A127" s="7"/>
      <c r="B127" s="4" t="s">
        <v>14</v>
      </c>
      <c r="C127" s="22"/>
      <c r="D127" s="47">
        <f>127*C125/1165</f>
        <v>132.45064377682402</v>
      </c>
      <c r="E127" s="69">
        <f aca="true" t="shared" si="15" ref="E127:E136">$E$125</f>
        <v>0</v>
      </c>
      <c r="F127" s="2">
        <f t="shared" si="12"/>
        <v>2362165.783</v>
      </c>
      <c r="G127" s="21">
        <f t="shared" si="14"/>
        <v>312870.3786659356</v>
      </c>
      <c r="H127" s="22"/>
      <c r="I127" s="73"/>
      <c r="J127" s="22"/>
      <c r="K127" s="22"/>
      <c r="L127" s="78"/>
      <c r="M127" s="22"/>
      <c r="N127" s="60"/>
      <c r="O127" s="59"/>
    </row>
    <row r="128" spans="1:15" ht="15">
      <c r="A128" s="7"/>
      <c r="B128" s="4" t="s">
        <v>15</v>
      </c>
      <c r="C128" s="22"/>
      <c r="D128" s="47">
        <f>102*C125/1165</f>
        <v>106.37768240343348</v>
      </c>
      <c r="E128" s="69">
        <f t="shared" si="15"/>
        <v>0</v>
      </c>
      <c r="F128" s="2">
        <f t="shared" si="12"/>
        <v>2362165.783</v>
      </c>
      <c r="G128" s="21">
        <f t="shared" si="14"/>
        <v>251281.72144823175</v>
      </c>
      <c r="H128" s="22"/>
      <c r="I128" s="73"/>
      <c r="J128" s="22"/>
      <c r="K128" s="22"/>
      <c r="L128" s="78"/>
      <c r="M128" s="22"/>
      <c r="N128" s="60"/>
      <c r="O128" s="59"/>
    </row>
    <row r="129" spans="1:15" ht="15">
      <c r="A129" s="7"/>
      <c r="B129" s="4" t="s">
        <v>16</v>
      </c>
      <c r="C129" s="22"/>
      <c r="D129" s="47">
        <f>88*C125/1165</f>
        <v>91.77682403433477</v>
      </c>
      <c r="E129" s="69">
        <f t="shared" si="15"/>
        <v>0</v>
      </c>
      <c r="F129" s="2">
        <f t="shared" si="12"/>
        <v>2362165.783</v>
      </c>
      <c r="G129" s="21">
        <f t="shared" si="14"/>
        <v>216792.0734063176</v>
      </c>
      <c r="H129" s="22"/>
      <c r="I129" s="73"/>
      <c r="J129" s="22"/>
      <c r="K129" s="22"/>
      <c r="L129" s="78"/>
      <c r="M129" s="22"/>
      <c r="N129" s="60"/>
      <c r="O129" s="59"/>
    </row>
    <row r="130" spans="1:15" ht="15">
      <c r="A130" s="8" t="s">
        <v>27</v>
      </c>
      <c r="B130" s="4" t="s">
        <v>18</v>
      </c>
      <c r="C130" s="22"/>
      <c r="D130" s="47">
        <f>59*C125/1165</f>
        <v>61.532188841201716</v>
      </c>
      <c r="E130" s="69">
        <f t="shared" si="15"/>
        <v>0</v>
      </c>
      <c r="F130" s="2">
        <f t="shared" si="12"/>
        <v>2362165.783</v>
      </c>
      <c r="G130" s="21">
        <f t="shared" si="14"/>
        <v>145349.2310337811</v>
      </c>
      <c r="H130" s="22"/>
      <c r="I130" s="73"/>
      <c r="J130" s="22"/>
      <c r="K130" s="22"/>
      <c r="L130" s="78"/>
      <c r="M130" s="22"/>
      <c r="N130" s="60"/>
      <c r="O130" s="59"/>
    </row>
    <row r="131" spans="1:15" ht="15">
      <c r="A131" s="7"/>
      <c r="B131" s="4" t="s">
        <v>19</v>
      </c>
      <c r="C131" s="22"/>
      <c r="D131" s="47">
        <f>46*C125/1165</f>
        <v>47.97424892703863</v>
      </c>
      <c r="E131" s="69">
        <f t="shared" si="15"/>
        <v>0</v>
      </c>
      <c r="F131" s="2">
        <f t="shared" si="12"/>
        <v>2362165.783</v>
      </c>
      <c r="G131" s="21">
        <f t="shared" si="14"/>
        <v>113323.12928057511</v>
      </c>
      <c r="H131" s="22"/>
      <c r="I131" s="73"/>
      <c r="J131" s="22"/>
      <c r="K131" s="22"/>
      <c r="L131" s="78"/>
      <c r="M131" s="22"/>
      <c r="N131" s="60"/>
      <c r="O131" s="59"/>
    </row>
    <row r="132" spans="1:15" ht="15">
      <c r="A132" s="7"/>
      <c r="B132" s="4" t="s">
        <v>7</v>
      </c>
      <c r="C132" s="22"/>
      <c r="D132" s="47">
        <f>59*C125/1165</f>
        <v>61.532188841201716</v>
      </c>
      <c r="E132" s="69">
        <f t="shared" si="15"/>
        <v>0</v>
      </c>
      <c r="F132" s="2">
        <f t="shared" si="12"/>
        <v>2362165.783</v>
      </c>
      <c r="G132" s="21">
        <f t="shared" si="14"/>
        <v>145349.2310337811</v>
      </c>
      <c r="H132" s="22"/>
      <c r="I132" s="73"/>
      <c r="J132" s="22"/>
      <c r="K132" s="22"/>
      <c r="L132" s="78"/>
      <c r="M132" s="22"/>
      <c r="N132" s="60"/>
      <c r="O132" s="59"/>
    </row>
    <row r="133" spans="1:15" ht="15">
      <c r="A133" s="7"/>
      <c r="B133" s="4" t="s">
        <v>8</v>
      </c>
      <c r="C133" s="22"/>
      <c r="D133" s="47">
        <f>75*C125/1165</f>
        <v>78.21888412017168</v>
      </c>
      <c r="E133" s="69">
        <f t="shared" si="15"/>
        <v>0</v>
      </c>
      <c r="F133" s="2">
        <f t="shared" si="12"/>
        <v>2362165.783</v>
      </c>
      <c r="G133" s="21">
        <f t="shared" si="14"/>
        <v>184765.97165311157</v>
      </c>
      <c r="H133" s="22"/>
      <c r="I133" s="73"/>
      <c r="J133" s="22"/>
      <c r="K133" s="22"/>
      <c r="L133" s="78"/>
      <c r="M133" s="22"/>
      <c r="N133" s="60"/>
      <c r="O133" s="59"/>
    </row>
    <row r="134" spans="1:15" ht="15">
      <c r="A134" s="7"/>
      <c r="B134" s="4" t="s">
        <v>9</v>
      </c>
      <c r="C134" s="22"/>
      <c r="D134" s="47">
        <f>103*C125/1165</f>
        <v>107.4206008583691</v>
      </c>
      <c r="E134" s="69">
        <f t="shared" si="15"/>
        <v>0</v>
      </c>
      <c r="F134" s="2">
        <f t="shared" si="12"/>
        <v>2362165.783</v>
      </c>
      <c r="G134" s="21">
        <f t="shared" si="14"/>
        <v>253745.26773693992</v>
      </c>
      <c r="H134" s="22"/>
      <c r="I134" s="73"/>
      <c r="J134" s="22"/>
      <c r="K134" s="22"/>
      <c r="L134" s="78"/>
      <c r="M134" s="22"/>
      <c r="N134" s="60"/>
      <c r="O134" s="59"/>
    </row>
    <row r="135" spans="1:15" ht="15">
      <c r="A135" s="7"/>
      <c r="B135" s="4" t="s">
        <v>10</v>
      </c>
      <c r="C135" s="22"/>
      <c r="D135" s="47">
        <f>115*C125/1165</f>
        <v>119.93562231759657</v>
      </c>
      <c r="E135" s="69">
        <f t="shared" si="15"/>
        <v>0</v>
      </c>
      <c r="F135" s="2">
        <f t="shared" si="12"/>
        <v>2362165.783</v>
      </c>
      <c r="G135" s="21">
        <f t="shared" si="14"/>
        <v>283307.8232014378</v>
      </c>
      <c r="H135" s="22"/>
      <c r="I135" s="73"/>
      <c r="J135" s="22"/>
      <c r="K135" s="22"/>
      <c r="L135" s="78"/>
      <c r="M135" s="22"/>
      <c r="N135" s="60"/>
      <c r="O135" s="59"/>
    </row>
    <row r="136" spans="1:15" ht="15">
      <c r="A136" s="9"/>
      <c r="B136" s="5" t="s">
        <v>11</v>
      </c>
      <c r="C136" s="49"/>
      <c r="D136" s="48">
        <f>128*C125/1165</f>
        <v>133.49356223175965</v>
      </c>
      <c r="E136" s="69">
        <f t="shared" si="15"/>
        <v>0</v>
      </c>
      <c r="F136" s="23">
        <f t="shared" si="12"/>
        <v>2362165.783</v>
      </c>
      <c r="G136" s="24">
        <f t="shared" si="14"/>
        <v>315333.9249546437</v>
      </c>
      <c r="H136" s="24">
        <f>SUM(G125:G136)</f>
        <v>2870031.426345</v>
      </c>
      <c r="I136" s="74">
        <f>D18*1000</f>
        <v>2869800</v>
      </c>
      <c r="J136" s="24">
        <f>H136-I136</f>
        <v>231.4263450000435</v>
      </c>
      <c r="K136" s="24">
        <f>O124</f>
        <v>0</v>
      </c>
      <c r="L136" s="28">
        <f>H136+K136</f>
        <v>2870031.426345</v>
      </c>
      <c r="M136" s="55">
        <f>L136/I136</f>
        <v>1.000080641976793</v>
      </c>
      <c r="N136" s="61">
        <f>IF(I136&gt;L136,I136-L136,0)</f>
        <v>0</v>
      </c>
      <c r="O136" s="62">
        <f>IF((L136-I136)&gt;0,L136-I136,0)</f>
        <v>231.4263450000435</v>
      </c>
    </row>
    <row r="137" spans="1:15" ht="15">
      <c r="A137" s="6"/>
      <c r="B137" s="3" t="s">
        <v>12</v>
      </c>
      <c r="C137" s="50">
        <v>1215</v>
      </c>
      <c r="D137" s="46">
        <f>130*C137/1165</f>
        <v>135.57939914163092</v>
      </c>
      <c r="E137" s="70">
        <v>15000</v>
      </c>
      <c r="F137" s="19">
        <f aca="true" t="shared" si="16" ref="F137:F148">F136+E137</f>
        <v>2377165.783</v>
      </c>
      <c r="G137" s="20">
        <f t="shared" si="14"/>
        <v>322294.70851918455</v>
      </c>
      <c r="H137" s="25"/>
      <c r="I137" s="75"/>
      <c r="J137" s="25"/>
      <c r="K137" s="25"/>
      <c r="L137" s="77"/>
      <c r="M137" s="25"/>
      <c r="N137" s="60"/>
      <c r="O137" s="59"/>
    </row>
    <row r="138" spans="1:15" ht="15">
      <c r="A138" s="7"/>
      <c r="B138" s="4" t="s">
        <v>13</v>
      </c>
      <c r="C138" s="22"/>
      <c r="D138" s="47">
        <f>133*C137/1165</f>
        <v>138.70815450643778</v>
      </c>
      <c r="E138" s="69">
        <f>$E$137</f>
        <v>15000</v>
      </c>
      <c r="F138" s="2">
        <f t="shared" si="16"/>
        <v>2392165.783</v>
      </c>
      <c r="G138" s="21">
        <f t="shared" si="14"/>
        <v>331812.9010333777</v>
      </c>
      <c r="H138" s="22"/>
      <c r="I138" s="73"/>
      <c r="J138" s="22"/>
      <c r="K138" s="22"/>
      <c r="L138" s="78"/>
      <c r="M138" s="22"/>
      <c r="N138" s="60"/>
      <c r="O138" s="59"/>
    </row>
    <row r="139" spans="1:15" ht="15">
      <c r="A139" s="7"/>
      <c r="B139" s="4" t="s">
        <v>14</v>
      </c>
      <c r="C139" s="22"/>
      <c r="D139" s="47">
        <f>127*C137/1165</f>
        <v>132.45064377682402</v>
      </c>
      <c r="E139" s="69">
        <f aca="true" t="shared" si="17" ref="E139:E148">$E$137</f>
        <v>15000</v>
      </c>
      <c r="F139" s="2">
        <f t="shared" si="16"/>
        <v>2407165.783</v>
      </c>
      <c r="G139" s="21">
        <f t="shared" si="14"/>
        <v>318830.6576358926</v>
      </c>
      <c r="H139" s="22"/>
      <c r="I139" s="73"/>
      <c r="J139" s="22"/>
      <c r="K139" s="22"/>
      <c r="L139" s="78"/>
      <c r="M139" s="22"/>
      <c r="N139" s="60"/>
      <c r="O139" s="59"/>
    </row>
    <row r="140" spans="1:15" ht="15">
      <c r="A140" s="7"/>
      <c r="B140" s="4" t="s">
        <v>15</v>
      </c>
      <c r="C140" s="22"/>
      <c r="D140" s="47">
        <f>102*C137/1165</f>
        <v>106.37768240343348</v>
      </c>
      <c r="E140" s="69">
        <f t="shared" si="17"/>
        <v>15000</v>
      </c>
      <c r="F140" s="2">
        <f t="shared" si="16"/>
        <v>2422165.783</v>
      </c>
      <c r="G140" s="21">
        <f t="shared" si="14"/>
        <v>257664.38239243775</v>
      </c>
      <c r="H140" s="22"/>
      <c r="I140" s="73"/>
      <c r="J140" s="22"/>
      <c r="K140" s="22"/>
      <c r="L140" s="78"/>
      <c r="M140" s="22"/>
      <c r="N140" s="60"/>
      <c r="O140" s="59"/>
    </row>
    <row r="141" spans="1:15" ht="15">
      <c r="A141" s="7"/>
      <c r="B141" s="4" t="s">
        <v>16</v>
      </c>
      <c r="C141" s="22"/>
      <c r="D141" s="47">
        <f>88*C137/1165</f>
        <v>91.77682403433477</v>
      </c>
      <c r="E141" s="69">
        <f t="shared" si="17"/>
        <v>15000</v>
      </c>
      <c r="F141" s="2">
        <f t="shared" si="16"/>
        <v>2437165.783</v>
      </c>
      <c r="G141" s="21">
        <f t="shared" si="14"/>
        <v>223675.3352088927</v>
      </c>
      <c r="H141" s="22"/>
      <c r="I141" s="73"/>
      <c r="J141" s="22"/>
      <c r="K141" s="22"/>
      <c r="L141" s="78"/>
      <c r="M141" s="22"/>
      <c r="N141" s="60"/>
      <c r="O141" s="59"/>
    </row>
    <row r="142" spans="1:15" ht="15">
      <c r="A142" s="8" t="s">
        <v>54</v>
      </c>
      <c r="B142" s="4" t="s">
        <v>18</v>
      </c>
      <c r="C142" s="22"/>
      <c r="D142" s="47">
        <f>59*C137/1165</f>
        <v>61.532188841201716</v>
      </c>
      <c r="E142" s="69">
        <f t="shared" si="17"/>
        <v>15000</v>
      </c>
      <c r="F142" s="2">
        <f t="shared" si="16"/>
        <v>2452165.783</v>
      </c>
      <c r="G142" s="21">
        <f t="shared" si="14"/>
        <v>150887.12802948925</v>
      </c>
      <c r="H142" s="22"/>
      <c r="I142" s="73"/>
      <c r="J142" s="22"/>
      <c r="K142" s="22"/>
      <c r="L142" s="78"/>
      <c r="M142" s="22"/>
      <c r="N142" s="60"/>
      <c r="O142" s="59"/>
    </row>
    <row r="143" spans="1:15" ht="15">
      <c r="A143" s="7"/>
      <c r="B143" s="4" t="s">
        <v>19</v>
      </c>
      <c r="C143" s="22"/>
      <c r="D143" s="47">
        <f>46*C137/1165</f>
        <v>47.97424892703863</v>
      </c>
      <c r="E143" s="69">
        <f t="shared" si="17"/>
        <v>15000</v>
      </c>
      <c r="F143" s="2">
        <f t="shared" si="16"/>
        <v>2467165.783</v>
      </c>
      <c r="G143" s="21">
        <f t="shared" si="14"/>
        <v>118360.42541791417</v>
      </c>
      <c r="H143" s="22"/>
      <c r="I143" s="73"/>
      <c r="J143" s="22"/>
      <c r="K143" s="22"/>
      <c r="L143" s="78"/>
      <c r="M143" s="22"/>
      <c r="N143" s="60"/>
      <c r="O143" s="59"/>
    </row>
    <row r="144" spans="1:15" ht="15">
      <c r="A144" s="7"/>
      <c r="B144" s="4" t="s">
        <v>7</v>
      </c>
      <c r="C144" s="22"/>
      <c r="D144" s="47">
        <f>59*C137/1165</f>
        <v>61.532188841201716</v>
      </c>
      <c r="E144" s="69">
        <f t="shared" si="17"/>
        <v>15000</v>
      </c>
      <c r="F144" s="2">
        <f t="shared" si="16"/>
        <v>2482165.783</v>
      </c>
      <c r="G144" s="21">
        <f t="shared" si="14"/>
        <v>152733.0936947253</v>
      </c>
      <c r="H144" s="22"/>
      <c r="I144" s="73"/>
      <c r="J144" s="22"/>
      <c r="K144" s="22"/>
      <c r="L144" s="78"/>
      <c r="M144" s="22"/>
      <c r="N144" s="60"/>
      <c r="O144" s="59"/>
    </row>
    <row r="145" spans="1:15" ht="15">
      <c r="A145" s="7"/>
      <c r="B145" s="4" t="s">
        <v>8</v>
      </c>
      <c r="C145" s="22"/>
      <c r="D145" s="47">
        <f>75*C137/1165</f>
        <v>78.21888412017168</v>
      </c>
      <c r="E145" s="69">
        <f t="shared" si="17"/>
        <v>15000</v>
      </c>
      <c r="F145" s="2">
        <f t="shared" si="16"/>
        <v>2497165.783</v>
      </c>
      <c r="G145" s="21">
        <f t="shared" si="14"/>
        <v>195325.52100933477</v>
      </c>
      <c r="H145" s="22"/>
      <c r="I145" s="73"/>
      <c r="J145" s="22"/>
      <c r="K145" s="22"/>
      <c r="L145" s="78"/>
      <c r="M145" s="22"/>
      <c r="N145" s="60"/>
      <c r="O145" s="59"/>
    </row>
    <row r="146" spans="1:15" ht="15">
      <c r="A146" s="7"/>
      <c r="B146" s="4" t="s">
        <v>9</v>
      </c>
      <c r="C146" s="22"/>
      <c r="D146" s="47">
        <f>103*C137/1165</f>
        <v>107.4206008583691</v>
      </c>
      <c r="E146" s="69">
        <f t="shared" si="17"/>
        <v>15000</v>
      </c>
      <c r="F146" s="2">
        <f t="shared" si="16"/>
        <v>2512165.783</v>
      </c>
      <c r="G146" s="21">
        <f t="shared" si="14"/>
        <v>269858.35786569526</v>
      </c>
      <c r="H146" s="22"/>
      <c r="I146" s="73"/>
      <c r="J146" s="22"/>
      <c r="K146" s="22"/>
      <c r="L146" s="78"/>
      <c r="M146" s="22"/>
      <c r="N146" s="60"/>
      <c r="O146" s="59"/>
    </row>
    <row r="147" spans="1:15" ht="15">
      <c r="A147" s="7"/>
      <c r="B147" s="4" t="s">
        <v>10</v>
      </c>
      <c r="C147" s="22"/>
      <c r="D147" s="47">
        <f>115*C137/1165</f>
        <v>119.93562231759657</v>
      </c>
      <c r="E147" s="69">
        <f t="shared" si="17"/>
        <v>15000</v>
      </c>
      <c r="F147" s="2">
        <f t="shared" si="16"/>
        <v>2527165.783</v>
      </c>
      <c r="G147" s="21">
        <f t="shared" si="14"/>
        <v>303097.20088384114</v>
      </c>
      <c r="H147" s="22"/>
      <c r="I147" s="73"/>
      <c r="J147" s="22"/>
      <c r="K147" s="22"/>
      <c r="L147" s="78"/>
      <c r="M147" s="22"/>
      <c r="N147" s="60"/>
      <c r="O147" s="59"/>
    </row>
    <row r="148" spans="1:15" ht="15">
      <c r="A148" s="9"/>
      <c r="B148" s="5" t="s">
        <v>11</v>
      </c>
      <c r="C148" s="49"/>
      <c r="D148" s="48">
        <f>128*C137/1165</f>
        <v>133.49356223175965</v>
      </c>
      <c r="E148" s="71">
        <f t="shared" si="17"/>
        <v>15000</v>
      </c>
      <c r="F148" s="23">
        <f t="shared" si="16"/>
        <v>2542165.783</v>
      </c>
      <c r="G148" s="24">
        <f t="shared" si="14"/>
        <v>339362.7661563605</v>
      </c>
      <c r="H148" s="24">
        <f>SUM(G137:G148)</f>
        <v>2983902.477847146</v>
      </c>
      <c r="I148" s="74">
        <f>D19*1000</f>
        <v>2982800</v>
      </c>
      <c r="J148" s="24">
        <f>H148-I148</f>
        <v>1102.4778471458703</v>
      </c>
      <c r="K148" s="24">
        <f>O136</f>
        <v>231.4263450000435</v>
      </c>
      <c r="L148" s="28">
        <f>H148+K148</f>
        <v>2984133.904192146</v>
      </c>
      <c r="M148" s="55">
        <f>L148/I148</f>
        <v>1.0004471986697552</v>
      </c>
      <c r="N148" s="61">
        <f>IF(I148&gt;L148,I148-L148,0)</f>
        <v>0</v>
      </c>
      <c r="O148" s="62">
        <f>IF((L148-I148)&gt;0,L148-I148,0)</f>
        <v>1333.9041921459138</v>
      </c>
    </row>
    <row r="149" spans="1:15" ht="15">
      <c r="A149" s="6"/>
      <c r="B149" s="3" t="s">
        <v>12</v>
      </c>
      <c r="C149" s="50">
        <v>1215</v>
      </c>
      <c r="D149" s="46">
        <f>130*C149/1165</f>
        <v>135.57939914163092</v>
      </c>
      <c r="E149" s="70">
        <v>4000</v>
      </c>
      <c r="F149" s="19">
        <f aca="true" t="shared" si="18" ref="F149:F184">F148+E149</f>
        <v>2546165.783</v>
      </c>
      <c r="G149" s="20">
        <f aca="true" t="shared" si="19" ref="G149:G184">D149*F149/1000</f>
        <v>345207.6269741202</v>
      </c>
      <c r="H149" s="25"/>
      <c r="I149" s="75"/>
      <c r="J149" s="25"/>
      <c r="K149" s="25"/>
      <c r="L149" s="77"/>
      <c r="M149" s="25"/>
      <c r="N149" s="60"/>
      <c r="O149" s="59"/>
    </row>
    <row r="150" spans="1:15" ht="15">
      <c r="A150" s="7"/>
      <c r="B150" s="4" t="s">
        <v>13</v>
      </c>
      <c r="C150" s="22"/>
      <c r="D150" s="47">
        <f>133*C149/1165</f>
        <v>138.70815450643778</v>
      </c>
      <c r="E150" s="69">
        <f>$E$149</f>
        <v>4000</v>
      </c>
      <c r="F150" s="2">
        <f t="shared" si="18"/>
        <v>2550165.783</v>
      </c>
      <c r="G150" s="21">
        <f t="shared" si="19"/>
        <v>353728.7894453949</v>
      </c>
      <c r="H150" s="22"/>
      <c r="I150" s="73"/>
      <c r="J150" s="22"/>
      <c r="K150" s="22"/>
      <c r="L150" s="78"/>
      <c r="M150" s="22"/>
      <c r="N150" s="60"/>
      <c r="O150" s="59"/>
    </row>
    <row r="151" spans="1:15" ht="15">
      <c r="A151" s="7"/>
      <c r="B151" s="4" t="s">
        <v>14</v>
      </c>
      <c r="C151" s="22"/>
      <c r="D151" s="47">
        <f>127*C149/1165</f>
        <v>132.45064377682402</v>
      </c>
      <c r="E151" s="69">
        <f aca="true" t="shared" si="20" ref="E151:E160">$E$149</f>
        <v>4000</v>
      </c>
      <c r="F151" s="2">
        <f t="shared" si="18"/>
        <v>2554165.783</v>
      </c>
      <c r="G151" s="21">
        <f t="shared" si="19"/>
        <v>338300.9022710858</v>
      </c>
      <c r="H151" s="22"/>
      <c r="I151" s="73"/>
      <c r="J151" s="22"/>
      <c r="K151" s="22"/>
      <c r="L151" s="78"/>
      <c r="M151" s="22"/>
      <c r="N151" s="60"/>
      <c r="O151" s="59"/>
    </row>
    <row r="152" spans="1:15" ht="15">
      <c r="A152" s="7"/>
      <c r="B152" s="4" t="s">
        <v>15</v>
      </c>
      <c r="C152" s="22"/>
      <c r="D152" s="47">
        <f>102*C149/1165</f>
        <v>106.37768240343348</v>
      </c>
      <c r="E152" s="69">
        <f t="shared" si="20"/>
        <v>4000</v>
      </c>
      <c r="F152" s="2">
        <f t="shared" si="18"/>
        <v>2558165.783</v>
      </c>
      <c r="G152" s="21">
        <f t="shared" si="19"/>
        <v>272131.7471993047</v>
      </c>
      <c r="H152" s="22"/>
      <c r="I152" s="73"/>
      <c r="J152" s="22"/>
      <c r="K152" s="22"/>
      <c r="L152" s="78"/>
      <c r="M152" s="22"/>
      <c r="N152" s="60"/>
      <c r="O152" s="59"/>
    </row>
    <row r="153" spans="1:15" ht="15">
      <c r="A153" s="7"/>
      <c r="B153" s="4" t="s">
        <v>16</v>
      </c>
      <c r="C153" s="22"/>
      <c r="D153" s="47">
        <f>88*C149/1165</f>
        <v>91.77682403433477</v>
      </c>
      <c r="E153" s="69">
        <f t="shared" si="20"/>
        <v>4000</v>
      </c>
      <c r="F153" s="2">
        <f t="shared" si="18"/>
        <v>2562165.783</v>
      </c>
      <c r="G153" s="21">
        <f t="shared" si="19"/>
        <v>235147.43821318453</v>
      </c>
      <c r="H153" s="22"/>
      <c r="I153" s="73"/>
      <c r="J153" s="22"/>
      <c r="K153" s="22"/>
      <c r="L153" s="78"/>
      <c r="M153" s="22"/>
      <c r="N153" s="60"/>
      <c r="O153" s="59"/>
    </row>
    <row r="154" spans="1:15" ht="15">
      <c r="A154" s="8" t="s">
        <v>44</v>
      </c>
      <c r="B154" s="4" t="s">
        <v>18</v>
      </c>
      <c r="C154" s="22"/>
      <c r="D154" s="47">
        <f>59*C149/1165</f>
        <v>61.532188841201716</v>
      </c>
      <c r="E154" s="69">
        <f t="shared" si="20"/>
        <v>4000</v>
      </c>
      <c r="F154" s="2">
        <f t="shared" si="18"/>
        <v>2566165.783</v>
      </c>
      <c r="G154" s="21">
        <f t="shared" si="19"/>
        <v>157901.79755738625</v>
      </c>
      <c r="H154" s="22"/>
      <c r="I154" s="73"/>
      <c r="J154" s="22"/>
      <c r="K154" s="22"/>
      <c r="L154" s="78"/>
      <c r="M154" s="22"/>
      <c r="N154" s="60"/>
      <c r="O154" s="59"/>
    </row>
    <row r="155" spans="1:15" ht="15">
      <c r="A155" s="7"/>
      <c r="B155" s="4" t="s">
        <v>19</v>
      </c>
      <c r="C155" s="22"/>
      <c r="D155" s="47">
        <f>46*C149/1165</f>
        <v>47.97424892703863</v>
      </c>
      <c r="E155" s="69">
        <f t="shared" si="20"/>
        <v>4000</v>
      </c>
      <c r="F155" s="2">
        <f t="shared" si="18"/>
        <v>2570165.783</v>
      </c>
      <c r="G155" s="21">
        <f t="shared" si="19"/>
        <v>123301.77305739914</v>
      </c>
      <c r="H155" s="22"/>
      <c r="I155" s="73"/>
      <c r="J155" s="22"/>
      <c r="K155" s="22"/>
      <c r="L155" s="78"/>
      <c r="M155" s="22"/>
      <c r="N155" s="60"/>
      <c r="O155" s="59"/>
    </row>
    <row r="156" spans="1:15" ht="15">
      <c r="A156" s="7"/>
      <c r="B156" s="4" t="s">
        <v>7</v>
      </c>
      <c r="C156" s="22"/>
      <c r="D156" s="47">
        <f>59*C149/1165</f>
        <v>61.532188841201716</v>
      </c>
      <c r="E156" s="69">
        <f t="shared" si="20"/>
        <v>4000</v>
      </c>
      <c r="F156" s="2">
        <f t="shared" si="18"/>
        <v>2574165.783</v>
      </c>
      <c r="G156" s="21">
        <f t="shared" si="19"/>
        <v>158394.05506811585</v>
      </c>
      <c r="H156" s="22"/>
      <c r="I156" s="73"/>
      <c r="J156" s="22"/>
      <c r="K156" s="22"/>
      <c r="L156" s="78"/>
      <c r="M156" s="22"/>
      <c r="N156" s="60"/>
      <c r="O156" s="59"/>
    </row>
    <row r="157" spans="1:15" ht="15">
      <c r="A157" s="7"/>
      <c r="B157" s="4" t="s">
        <v>8</v>
      </c>
      <c r="C157" s="22"/>
      <c r="D157" s="47">
        <f>75*C149/1165</f>
        <v>78.21888412017168</v>
      </c>
      <c r="E157" s="69">
        <f t="shared" si="20"/>
        <v>4000</v>
      </c>
      <c r="F157" s="2">
        <f t="shared" si="18"/>
        <v>2578165.783</v>
      </c>
      <c r="G157" s="21">
        <f t="shared" si="19"/>
        <v>201661.25062306866</v>
      </c>
      <c r="H157" s="22"/>
      <c r="I157" s="73"/>
      <c r="J157" s="22"/>
      <c r="K157" s="22"/>
      <c r="L157" s="78"/>
      <c r="M157" s="22"/>
      <c r="N157" s="60"/>
      <c r="O157" s="59"/>
    </row>
    <row r="158" spans="1:15" ht="15">
      <c r="A158" s="7"/>
      <c r="B158" s="4" t="s">
        <v>9</v>
      </c>
      <c r="C158" s="22"/>
      <c r="D158" s="47">
        <f>103*C149/1165</f>
        <v>107.4206008583691</v>
      </c>
      <c r="E158" s="69">
        <f t="shared" si="20"/>
        <v>4000</v>
      </c>
      <c r="F158" s="2">
        <f t="shared" si="18"/>
        <v>2582165.783</v>
      </c>
      <c r="G158" s="21">
        <f t="shared" si="19"/>
        <v>277377.7999257811</v>
      </c>
      <c r="H158" s="22"/>
      <c r="I158" s="73"/>
      <c r="J158" s="22"/>
      <c r="K158" s="22"/>
      <c r="L158" s="78"/>
      <c r="M158" s="22"/>
      <c r="N158" s="60"/>
      <c r="O158" s="59"/>
    </row>
    <row r="159" spans="1:15" ht="15">
      <c r="A159" s="7"/>
      <c r="B159" s="4" t="s">
        <v>10</v>
      </c>
      <c r="C159" s="22"/>
      <c r="D159" s="47">
        <f>115*C149/1165</f>
        <v>119.93562231759657</v>
      </c>
      <c r="E159" s="69">
        <f t="shared" si="20"/>
        <v>4000</v>
      </c>
      <c r="F159" s="2">
        <f t="shared" si="18"/>
        <v>2586165.783</v>
      </c>
      <c r="G159" s="21">
        <f t="shared" si="19"/>
        <v>310173.4026005794</v>
      </c>
      <c r="H159" s="22"/>
      <c r="I159" s="73"/>
      <c r="J159" s="22"/>
      <c r="K159" s="22"/>
      <c r="L159" s="78"/>
      <c r="M159" s="22"/>
      <c r="N159" s="60"/>
      <c r="O159" s="59"/>
    </row>
    <row r="160" spans="1:15" ht="15">
      <c r="A160" s="9"/>
      <c r="B160" s="5" t="s">
        <v>11</v>
      </c>
      <c r="C160" s="49"/>
      <c r="D160" s="48">
        <f>128*C149/1165</f>
        <v>133.49356223175965</v>
      </c>
      <c r="E160" s="69">
        <f t="shared" si="20"/>
        <v>4000</v>
      </c>
      <c r="F160" s="23">
        <f t="shared" si="18"/>
        <v>2590165.783</v>
      </c>
      <c r="G160" s="24">
        <f t="shared" si="19"/>
        <v>345770.45714348496</v>
      </c>
      <c r="H160" s="24">
        <f>SUM(G149:G160)</f>
        <v>3119097.0400789054</v>
      </c>
      <c r="I160" s="74">
        <f>D20*1000</f>
        <v>3098100</v>
      </c>
      <c r="J160" s="24">
        <f>H160-I160</f>
        <v>20997.04007890541</v>
      </c>
      <c r="K160" s="24">
        <f>O148</f>
        <v>1333.9041921459138</v>
      </c>
      <c r="L160" s="28">
        <f>H160+K160</f>
        <v>3120430.9442710513</v>
      </c>
      <c r="M160" s="55">
        <f>L160/I160</f>
        <v>1.0072079481847105</v>
      </c>
      <c r="N160" s="61">
        <f>IF(I160&gt;L160,I160-L160,0)</f>
        <v>0</v>
      </c>
      <c r="O160" s="62">
        <f>IF((L160-I160)&gt;0,L160-I160,0)</f>
        <v>22330.944271051325</v>
      </c>
    </row>
    <row r="161" spans="1:15" ht="15">
      <c r="A161" s="6"/>
      <c r="B161" s="3" t="s">
        <v>12</v>
      </c>
      <c r="C161" s="50">
        <v>1215</v>
      </c>
      <c r="D161" s="46">
        <f>130*C161/1165</f>
        <v>135.57939914163092</v>
      </c>
      <c r="E161" s="70">
        <v>8000</v>
      </c>
      <c r="F161" s="19">
        <f t="shared" si="18"/>
        <v>2598165.783</v>
      </c>
      <c r="G161" s="20">
        <f t="shared" si="19"/>
        <v>352257.75572948495</v>
      </c>
      <c r="H161" s="25"/>
      <c r="I161" s="75"/>
      <c r="J161" s="25"/>
      <c r="K161" s="25"/>
      <c r="L161" s="77"/>
      <c r="M161" s="25"/>
      <c r="N161" s="60"/>
      <c r="O161" s="59"/>
    </row>
    <row r="162" spans="1:15" ht="15">
      <c r="A162" s="7"/>
      <c r="B162" s="4" t="s">
        <v>13</v>
      </c>
      <c r="C162" s="22"/>
      <c r="D162" s="47">
        <f>133*C161/1165</f>
        <v>138.70815450643778</v>
      </c>
      <c r="E162" s="69">
        <f>$E$161</f>
        <v>8000</v>
      </c>
      <c r="F162" s="2">
        <f t="shared" si="18"/>
        <v>2606165.783</v>
      </c>
      <c r="G162" s="21">
        <f t="shared" si="19"/>
        <v>361496.4460977554</v>
      </c>
      <c r="H162" s="22"/>
      <c r="I162" s="73"/>
      <c r="J162" s="22"/>
      <c r="K162" s="22"/>
      <c r="L162" s="78"/>
      <c r="M162" s="22"/>
      <c r="N162" s="60"/>
      <c r="O162" s="59"/>
    </row>
    <row r="163" spans="1:15" ht="15">
      <c r="A163" s="7"/>
      <c r="B163" s="4" t="s">
        <v>14</v>
      </c>
      <c r="C163" s="22"/>
      <c r="D163" s="47">
        <f>127*C161/1165</f>
        <v>132.45064377682402</v>
      </c>
      <c r="E163" s="69">
        <f aca="true" t="shared" si="21" ref="E163:E172">$E$161</f>
        <v>8000</v>
      </c>
      <c r="F163" s="2">
        <f t="shared" si="18"/>
        <v>2614165.783</v>
      </c>
      <c r="G163" s="21">
        <f t="shared" si="19"/>
        <v>346247.94089769525</v>
      </c>
      <c r="H163" s="22"/>
      <c r="I163" s="73"/>
      <c r="J163" s="22"/>
      <c r="K163" s="22"/>
      <c r="L163" s="78"/>
      <c r="M163" s="22"/>
      <c r="N163" s="60"/>
      <c r="O163" s="59"/>
    </row>
    <row r="164" spans="1:15" ht="15">
      <c r="A164" s="7"/>
      <c r="B164" s="4" t="s">
        <v>15</v>
      </c>
      <c r="C164" s="22"/>
      <c r="D164" s="47">
        <f>102*C161/1165</f>
        <v>106.37768240343348</v>
      </c>
      <c r="E164" s="69">
        <f t="shared" si="21"/>
        <v>8000</v>
      </c>
      <c r="F164" s="2">
        <f t="shared" si="18"/>
        <v>2622165.783</v>
      </c>
      <c r="G164" s="21">
        <f t="shared" si="19"/>
        <v>278939.91887312446</v>
      </c>
      <c r="H164" s="22"/>
      <c r="I164" s="73"/>
      <c r="J164" s="22"/>
      <c r="K164" s="22"/>
      <c r="L164" s="78"/>
      <c r="M164" s="22"/>
      <c r="N164" s="60"/>
      <c r="O164" s="59"/>
    </row>
    <row r="165" spans="1:15" ht="15">
      <c r="A165" s="7"/>
      <c r="B165" s="4" t="s">
        <v>16</v>
      </c>
      <c r="C165" s="22"/>
      <c r="D165" s="47">
        <f>88*C161/1165</f>
        <v>91.77682403433477</v>
      </c>
      <c r="E165" s="69">
        <f t="shared" si="21"/>
        <v>8000</v>
      </c>
      <c r="F165" s="2">
        <f t="shared" si="18"/>
        <v>2630165.783</v>
      </c>
      <c r="G165" s="21">
        <f t="shared" si="19"/>
        <v>241388.2622475193</v>
      </c>
      <c r="H165" s="22"/>
      <c r="I165" s="73"/>
      <c r="J165" s="22"/>
      <c r="K165" s="22"/>
      <c r="L165" s="78"/>
      <c r="M165" s="22"/>
      <c r="N165" s="60"/>
      <c r="O165" s="59"/>
    </row>
    <row r="166" spans="1:15" ht="15">
      <c r="A166" s="8" t="s">
        <v>45</v>
      </c>
      <c r="B166" s="4" t="s">
        <v>18</v>
      </c>
      <c r="C166" s="22"/>
      <c r="D166" s="47">
        <f>59*C161/1165</f>
        <v>61.532188841201716</v>
      </c>
      <c r="E166" s="69">
        <f t="shared" si="21"/>
        <v>8000</v>
      </c>
      <c r="F166" s="2">
        <f t="shared" si="18"/>
        <v>2638165.783</v>
      </c>
      <c r="G166" s="21">
        <f t="shared" si="19"/>
        <v>162332.11515395276</v>
      </c>
      <c r="H166" s="22"/>
      <c r="I166" s="73"/>
      <c r="J166" s="22"/>
      <c r="K166" s="22"/>
      <c r="L166" s="78"/>
      <c r="M166" s="22"/>
      <c r="N166" s="60"/>
      <c r="O166" s="59"/>
    </row>
    <row r="167" spans="1:15" ht="15">
      <c r="A167" s="7"/>
      <c r="B167" s="4" t="s">
        <v>19</v>
      </c>
      <c r="C167" s="22"/>
      <c r="D167" s="47">
        <f>46*C161/1165</f>
        <v>47.97424892703863</v>
      </c>
      <c r="E167" s="69">
        <f t="shared" si="21"/>
        <v>8000</v>
      </c>
      <c r="F167" s="2">
        <f t="shared" si="18"/>
        <v>2646165.783</v>
      </c>
      <c r="G167" s="21">
        <f t="shared" si="19"/>
        <v>126947.81597585409</v>
      </c>
      <c r="H167" s="22"/>
      <c r="I167" s="73"/>
      <c r="J167" s="22"/>
      <c r="K167" s="22"/>
      <c r="L167" s="78"/>
      <c r="M167" s="22"/>
      <c r="N167" s="60"/>
      <c r="O167" s="59"/>
    </row>
    <row r="168" spans="1:15" ht="15">
      <c r="A168" s="7"/>
      <c r="B168" s="4" t="s">
        <v>7</v>
      </c>
      <c r="C168" s="22"/>
      <c r="D168" s="47">
        <f>59*C161/1165</f>
        <v>61.532188841201716</v>
      </c>
      <c r="E168" s="69">
        <f t="shared" si="21"/>
        <v>8000</v>
      </c>
      <c r="F168" s="2">
        <f t="shared" si="18"/>
        <v>2654165.783</v>
      </c>
      <c r="G168" s="21">
        <f t="shared" si="19"/>
        <v>163316.630175412</v>
      </c>
      <c r="H168" s="22"/>
      <c r="I168" s="73"/>
      <c r="J168" s="22"/>
      <c r="K168" s="22"/>
      <c r="L168" s="78"/>
      <c r="M168" s="22"/>
      <c r="N168" s="60"/>
      <c r="O168" s="59"/>
    </row>
    <row r="169" spans="1:15" ht="15">
      <c r="A169" s="7"/>
      <c r="B169" s="4" t="s">
        <v>8</v>
      </c>
      <c r="C169" s="22"/>
      <c r="D169" s="47">
        <f>75*C161/1165</f>
        <v>78.21888412017168</v>
      </c>
      <c r="E169" s="69">
        <f t="shared" si="21"/>
        <v>8000</v>
      </c>
      <c r="F169" s="2">
        <f t="shared" si="18"/>
        <v>2662165.783</v>
      </c>
      <c r="G169" s="21">
        <f t="shared" si="19"/>
        <v>208231.6368891631</v>
      </c>
      <c r="H169" s="22"/>
      <c r="I169" s="73"/>
      <c r="J169" s="22"/>
      <c r="K169" s="22"/>
      <c r="L169" s="78"/>
      <c r="M169" s="22"/>
      <c r="N169" s="60"/>
      <c r="O169" s="59"/>
    </row>
    <row r="170" spans="1:15" ht="15">
      <c r="A170" s="7"/>
      <c r="B170" s="4" t="s">
        <v>9</v>
      </c>
      <c r="C170" s="22"/>
      <c r="D170" s="47">
        <f>103*C161/1165</f>
        <v>107.4206008583691</v>
      </c>
      <c r="E170" s="69">
        <f t="shared" si="21"/>
        <v>8000</v>
      </c>
      <c r="F170" s="2">
        <f t="shared" si="18"/>
        <v>2670165.783</v>
      </c>
      <c r="G170" s="21">
        <f t="shared" si="19"/>
        <v>286830.81280131754</v>
      </c>
      <c r="H170" s="22"/>
      <c r="I170" s="73"/>
      <c r="J170" s="22"/>
      <c r="K170" s="22"/>
      <c r="L170" s="78"/>
      <c r="M170" s="22"/>
      <c r="N170" s="60"/>
      <c r="O170" s="59"/>
    </row>
    <row r="171" spans="1:15" ht="15">
      <c r="A171" s="7"/>
      <c r="B171" s="4" t="s">
        <v>10</v>
      </c>
      <c r="C171" s="22"/>
      <c r="D171" s="47">
        <f>115*C161/1165</f>
        <v>119.93562231759657</v>
      </c>
      <c r="E171" s="69">
        <f t="shared" si="21"/>
        <v>8000</v>
      </c>
      <c r="F171" s="2">
        <f t="shared" si="18"/>
        <v>2678165.783</v>
      </c>
      <c r="G171" s="21">
        <f t="shared" si="19"/>
        <v>321207.4798537983</v>
      </c>
      <c r="H171" s="22"/>
      <c r="I171" s="73"/>
      <c r="J171" s="22"/>
      <c r="K171" s="22"/>
      <c r="L171" s="78"/>
      <c r="M171" s="22"/>
      <c r="N171" s="60"/>
      <c r="O171" s="59"/>
    </row>
    <row r="172" spans="1:15" ht="15">
      <c r="A172" s="9"/>
      <c r="B172" s="5" t="s">
        <v>11</v>
      </c>
      <c r="C172" s="49"/>
      <c r="D172" s="48">
        <f>128*C161/1165</f>
        <v>133.49356223175965</v>
      </c>
      <c r="E172" s="69">
        <f t="shared" si="21"/>
        <v>8000</v>
      </c>
      <c r="F172" s="23">
        <f t="shared" si="18"/>
        <v>2686165.783</v>
      </c>
      <c r="G172" s="24">
        <f t="shared" si="19"/>
        <v>358585.8391177339</v>
      </c>
      <c r="H172" s="24">
        <f>SUM(G161:G172)</f>
        <v>3207782.6538128112</v>
      </c>
      <c r="I172" s="74">
        <f>D21*1000</f>
        <v>3215800</v>
      </c>
      <c r="J172" s="24">
        <f>H172-I172</f>
        <v>-8017.346187188756</v>
      </c>
      <c r="K172" s="24">
        <f>O160</f>
        <v>22330.944271051325</v>
      </c>
      <c r="L172" s="28">
        <f>H172+K172</f>
        <v>3230113.5980838626</v>
      </c>
      <c r="M172" s="55">
        <f>L172/I172</f>
        <v>1.0044510224777232</v>
      </c>
      <c r="N172" s="61">
        <f>IF(I172&gt;L172,I172-L172,0)</f>
        <v>0</v>
      </c>
      <c r="O172" s="62">
        <f>IF((L172-I172)&gt;0,L172-I172,0)</f>
        <v>14313.59808386257</v>
      </c>
    </row>
    <row r="173" spans="1:15" ht="15">
      <c r="A173" s="6"/>
      <c r="B173" s="3" t="s">
        <v>12</v>
      </c>
      <c r="C173" s="50">
        <v>1215</v>
      </c>
      <c r="D173" s="46">
        <f>130*C173/1165</f>
        <v>135.57939914163092</v>
      </c>
      <c r="E173" s="70">
        <v>8000</v>
      </c>
      <c r="F173" s="19">
        <f t="shared" si="18"/>
        <v>2694165.783</v>
      </c>
      <c r="G173" s="20">
        <f t="shared" si="19"/>
        <v>365273.3780470815</v>
      </c>
      <c r="H173" s="25"/>
      <c r="I173" s="75"/>
      <c r="J173" s="25"/>
      <c r="K173" s="25"/>
      <c r="L173" s="77"/>
      <c r="M173" s="25"/>
      <c r="N173" s="60"/>
      <c r="O173" s="59"/>
    </row>
    <row r="174" spans="1:15" ht="15">
      <c r="A174" s="7"/>
      <c r="B174" s="4" t="s">
        <v>13</v>
      </c>
      <c r="C174" s="22"/>
      <c r="D174" s="47">
        <f>133*C173/1165</f>
        <v>138.70815450643778</v>
      </c>
      <c r="E174" s="69">
        <f>$E$173</f>
        <v>8000</v>
      </c>
      <c r="F174" s="2">
        <f t="shared" si="18"/>
        <v>2702165.783</v>
      </c>
      <c r="G174" s="21">
        <f t="shared" si="19"/>
        <v>374812.4289303734</v>
      </c>
      <c r="H174" s="22"/>
      <c r="I174" s="73"/>
      <c r="J174" s="22"/>
      <c r="K174" s="22"/>
      <c r="L174" s="78"/>
      <c r="M174" s="22"/>
      <c r="N174" s="60"/>
      <c r="O174" s="59"/>
    </row>
    <row r="175" spans="1:15" ht="15">
      <c r="A175" s="7"/>
      <c r="B175" s="4" t="s">
        <v>14</v>
      </c>
      <c r="C175" s="22"/>
      <c r="D175" s="47">
        <f>127*C173/1165</f>
        <v>132.45064377682402</v>
      </c>
      <c r="E175" s="69">
        <f aca="true" t="shared" si="22" ref="E175:E184">$E$173</f>
        <v>8000</v>
      </c>
      <c r="F175" s="2">
        <f t="shared" si="18"/>
        <v>2710165.783</v>
      </c>
      <c r="G175" s="21">
        <f t="shared" si="19"/>
        <v>358963.20270027034</v>
      </c>
      <c r="H175" s="22"/>
      <c r="I175" s="73"/>
      <c r="J175" s="22"/>
      <c r="K175" s="22"/>
      <c r="L175" s="78"/>
      <c r="M175" s="22"/>
      <c r="N175" s="60"/>
      <c r="O175" s="59"/>
    </row>
    <row r="176" spans="1:15" ht="15">
      <c r="A176" s="7"/>
      <c r="B176" s="4" t="s">
        <v>15</v>
      </c>
      <c r="C176" s="22"/>
      <c r="D176" s="47">
        <f>102*C173/1165</f>
        <v>106.37768240343348</v>
      </c>
      <c r="E176" s="69">
        <f t="shared" si="22"/>
        <v>8000</v>
      </c>
      <c r="F176" s="2">
        <f t="shared" si="18"/>
        <v>2718165.783</v>
      </c>
      <c r="G176" s="21">
        <f t="shared" si="19"/>
        <v>289152.17638385406</v>
      </c>
      <c r="H176" s="22"/>
      <c r="I176" s="73"/>
      <c r="J176" s="22"/>
      <c r="K176" s="22"/>
      <c r="L176" s="78"/>
      <c r="M176" s="22"/>
      <c r="N176" s="60"/>
      <c r="O176" s="59"/>
    </row>
    <row r="177" spans="1:15" ht="15">
      <c r="A177" s="7"/>
      <c r="B177" s="4" t="s">
        <v>16</v>
      </c>
      <c r="C177" s="22"/>
      <c r="D177" s="47">
        <f>88*C173/1165</f>
        <v>91.77682403433477</v>
      </c>
      <c r="E177" s="69">
        <f t="shared" si="22"/>
        <v>8000</v>
      </c>
      <c r="F177" s="2">
        <f t="shared" si="18"/>
        <v>2726165.783</v>
      </c>
      <c r="G177" s="21">
        <f t="shared" si="19"/>
        <v>250198.83735481545</v>
      </c>
      <c r="H177" s="22"/>
      <c r="I177" s="73"/>
      <c r="J177" s="22"/>
      <c r="K177" s="22"/>
      <c r="L177" s="78"/>
      <c r="M177" s="22"/>
      <c r="N177" s="60"/>
      <c r="O177" s="59"/>
    </row>
    <row r="178" spans="1:15" ht="15">
      <c r="A178" s="8" t="s">
        <v>46</v>
      </c>
      <c r="B178" s="4" t="s">
        <v>18</v>
      </c>
      <c r="C178" s="22"/>
      <c r="D178" s="47">
        <f>59*C173/1165</f>
        <v>61.532188841201716</v>
      </c>
      <c r="E178" s="69">
        <f t="shared" si="22"/>
        <v>8000</v>
      </c>
      <c r="F178" s="2">
        <f t="shared" si="18"/>
        <v>2734165.783</v>
      </c>
      <c r="G178" s="21">
        <f t="shared" si="19"/>
        <v>168239.20528270814</v>
      </c>
      <c r="H178" s="22"/>
      <c r="I178" s="73"/>
      <c r="J178" s="22"/>
      <c r="K178" s="22"/>
      <c r="L178" s="78"/>
      <c r="M178" s="22"/>
      <c r="N178" s="60"/>
      <c r="O178" s="59"/>
    </row>
    <row r="179" spans="1:15" ht="15">
      <c r="A179" s="7"/>
      <c r="B179" s="4" t="s">
        <v>19</v>
      </c>
      <c r="C179" s="22"/>
      <c r="D179" s="47">
        <f>46*C173/1165</f>
        <v>47.97424892703863</v>
      </c>
      <c r="E179" s="69">
        <f t="shared" si="22"/>
        <v>8000</v>
      </c>
      <c r="F179" s="2">
        <f t="shared" si="18"/>
        <v>2742165.783</v>
      </c>
      <c r="G179" s="21">
        <f t="shared" si="19"/>
        <v>131553.3438728498</v>
      </c>
      <c r="H179" s="22"/>
      <c r="I179" s="73"/>
      <c r="J179" s="22"/>
      <c r="K179" s="22"/>
      <c r="L179" s="78"/>
      <c r="M179" s="22"/>
      <c r="N179" s="60"/>
      <c r="O179" s="59"/>
    </row>
    <row r="180" spans="1:15" ht="15">
      <c r="A180" s="7"/>
      <c r="B180" s="4" t="s">
        <v>7</v>
      </c>
      <c r="C180" s="22"/>
      <c r="D180" s="47">
        <f>59*C173/1165</f>
        <v>61.532188841201716</v>
      </c>
      <c r="E180" s="69">
        <f t="shared" si="22"/>
        <v>8000</v>
      </c>
      <c r="F180" s="2">
        <f t="shared" si="18"/>
        <v>2750165.783</v>
      </c>
      <c r="G180" s="21">
        <f t="shared" si="19"/>
        <v>169223.72030416736</v>
      </c>
      <c r="H180" s="22"/>
      <c r="I180" s="73"/>
      <c r="J180" s="22"/>
      <c r="K180" s="22"/>
      <c r="L180" s="78"/>
      <c r="M180" s="22"/>
      <c r="N180" s="60"/>
      <c r="O180" s="59"/>
    </row>
    <row r="181" spans="1:15" ht="15">
      <c r="A181" s="7"/>
      <c r="B181" s="4" t="s">
        <v>8</v>
      </c>
      <c r="C181" s="22"/>
      <c r="D181" s="47">
        <f>75*C173/1165</f>
        <v>78.21888412017168</v>
      </c>
      <c r="E181" s="69">
        <f t="shared" si="22"/>
        <v>8000</v>
      </c>
      <c r="F181" s="2">
        <f t="shared" si="18"/>
        <v>2758165.783</v>
      </c>
      <c r="G181" s="21">
        <f t="shared" si="19"/>
        <v>215740.64976469957</v>
      </c>
      <c r="H181" s="22"/>
      <c r="I181" s="73"/>
      <c r="J181" s="22"/>
      <c r="K181" s="22"/>
      <c r="L181" s="78"/>
      <c r="M181" s="22"/>
      <c r="N181" s="60"/>
      <c r="O181" s="59"/>
    </row>
    <row r="182" spans="1:15" ht="15">
      <c r="A182" s="7"/>
      <c r="B182" s="4" t="s">
        <v>9</v>
      </c>
      <c r="C182" s="22"/>
      <c r="D182" s="47">
        <f>103*C173/1165</f>
        <v>107.4206008583691</v>
      </c>
      <c r="E182" s="69">
        <f t="shared" si="22"/>
        <v>8000</v>
      </c>
      <c r="F182" s="2">
        <f t="shared" si="18"/>
        <v>2766165.783</v>
      </c>
      <c r="G182" s="21">
        <f t="shared" si="19"/>
        <v>297143.19048372103</v>
      </c>
      <c r="H182" s="22"/>
      <c r="I182" s="73"/>
      <c r="J182" s="22"/>
      <c r="K182" s="22"/>
      <c r="L182" s="78"/>
      <c r="M182" s="22"/>
      <c r="N182" s="60"/>
      <c r="O182" s="59"/>
    </row>
    <row r="183" spans="1:15" ht="15">
      <c r="A183" s="7"/>
      <c r="B183" s="4" t="s">
        <v>10</v>
      </c>
      <c r="C183" s="22"/>
      <c r="D183" s="47">
        <f>115*C173/1165</f>
        <v>119.93562231759657</v>
      </c>
      <c r="E183" s="69">
        <f t="shared" si="22"/>
        <v>8000</v>
      </c>
      <c r="F183" s="2">
        <f t="shared" si="18"/>
        <v>2774165.783</v>
      </c>
      <c r="G183" s="21">
        <f t="shared" si="19"/>
        <v>332721.29959628754</v>
      </c>
      <c r="H183" s="22"/>
      <c r="I183" s="73"/>
      <c r="J183" s="22"/>
      <c r="K183" s="22"/>
      <c r="L183" s="78"/>
      <c r="M183" s="22"/>
      <c r="N183" s="60"/>
      <c r="O183" s="59"/>
    </row>
    <row r="184" spans="1:15" ht="15">
      <c r="A184" s="9"/>
      <c r="B184" s="5" t="s">
        <v>11</v>
      </c>
      <c r="C184" s="49"/>
      <c r="D184" s="48">
        <f>128*C173/1165</f>
        <v>133.49356223175965</v>
      </c>
      <c r="E184" s="69">
        <f t="shared" si="22"/>
        <v>8000</v>
      </c>
      <c r="F184" s="23">
        <f t="shared" si="18"/>
        <v>2782165.783</v>
      </c>
      <c r="G184" s="24">
        <f t="shared" si="19"/>
        <v>371401.2210919828</v>
      </c>
      <c r="H184" s="24">
        <f>SUM(G173:G184)</f>
        <v>3324422.653812811</v>
      </c>
      <c r="I184" s="74">
        <f>D22*1000</f>
        <v>3336000</v>
      </c>
      <c r="J184" s="24">
        <f>H184-I184</f>
        <v>-11577.346187189221</v>
      </c>
      <c r="K184" s="24">
        <f>O172</f>
        <v>14313.59808386257</v>
      </c>
      <c r="L184" s="28">
        <f>H184+K184</f>
        <v>3338736.2518966733</v>
      </c>
      <c r="M184" s="55">
        <f>L184/I184</f>
        <v>1.0008202193934872</v>
      </c>
      <c r="N184" s="61">
        <f>IF(I184&gt;L184,I184-L184,0)</f>
        <v>0</v>
      </c>
      <c r="O184" s="62">
        <f>IF((L184-I184)&gt;0,L184-I184,0)</f>
        <v>2736.251896673348</v>
      </c>
    </row>
    <row r="185" spans="5:15" ht="15">
      <c r="E185" s="80"/>
      <c r="I185" s="76"/>
      <c r="L185" s="79"/>
      <c r="N185" s="60"/>
      <c r="O185" s="60"/>
    </row>
    <row r="186" spans="5:15" ht="15">
      <c r="E186" s="72"/>
      <c r="I186" s="76"/>
      <c r="L186" s="79"/>
      <c r="N186" s="60"/>
      <c r="O186" s="60"/>
    </row>
    <row r="187" spans="5:15" ht="15">
      <c r="E187" s="72"/>
      <c r="N187" s="60"/>
      <c r="O187" s="60"/>
    </row>
    <row r="188" spans="5:15" ht="15">
      <c r="E188" s="72"/>
      <c r="N188" s="60"/>
      <c r="O188" s="60"/>
    </row>
    <row r="189" spans="5:15" ht="15">
      <c r="E189" s="72"/>
      <c r="N189" s="60"/>
      <c r="O189" s="60"/>
    </row>
    <row r="190" spans="5:15" ht="15">
      <c r="E190" s="72"/>
      <c r="N190" s="60"/>
      <c r="O190" s="60"/>
    </row>
    <row r="191" spans="5:15" ht="15">
      <c r="E191" s="72"/>
      <c r="N191" s="60"/>
      <c r="O191" s="60"/>
    </row>
    <row r="192" spans="5:15" ht="15">
      <c r="E192" s="72"/>
      <c r="N192" s="60"/>
      <c r="O192" s="60"/>
    </row>
    <row r="193" spans="5:15" ht="15">
      <c r="E193" s="72"/>
      <c r="N193" s="60"/>
      <c r="O193" s="60"/>
    </row>
    <row r="194" spans="5:15" ht="15">
      <c r="E194" s="72"/>
      <c r="N194" s="60"/>
      <c r="O194" s="60"/>
    </row>
    <row r="195" spans="5:15" ht="15">
      <c r="E195" s="72"/>
      <c r="N195" s="60"/>
      <c r="O195" s="60"/>
    </row>
    <row r="196" spans="5:15" ht="15">
      <c r="E196" s="72"/>
      <c r="N196" s="60"/>
      <c r="O196" s="60"/>
    </row>
    <row r="197" spans="5:15" ht="15">
      <c r="E197" s="72"/>
      <c r="N197" s="60"/>
      <c r="O197" s="60"/>
    </row>
    <row r="198" spans="5:15" ht="15">
      <c r="E198" s="72"/>
      <c r="N198" s="60"/>
      <c r="O198" s="60"/>
    </row>
    <row r="199" spans="5:15" ht="15">
      <c r="E199" s="72"/>
      <c r="N199" s="60"/>
      <c r="O199" s="60"/>
    </row>
    <row r="200" spans="5:15" ht="15">
      <c r="E200" s="72"/>
      <c r="N200" s="60"/>
      <c r="O200" s="60"/>
    </row>
    <row r="201" spans="5:15" ht="15">
      <c r="E201" s="72"/>
      <c r="N201" s="60"/>
      <c r="O201" s="60"/>
    </row>
    <row r="202" spans="5:15" ht="15">
      <c r="E202" s="72"/>
      <c r="N202" s="60"/>
      <c r="O202" s="60"/>
    </row>
    <row r="203" spans="5:15" ht="15">
      <c r="E203" s="72"/>
      <c r="N203" s="60"/>
      <c r="O203" s="60"/>
    </row>
    <row r="204" spans="5:15" ht="15">
      <c r="E204" s="72"/>
      <c r="N204" s="60"/>
      <c r="O204" s="60"/>
    </row>
    <row r="205" spans="5:15" ht="15">
      <c r="E205" s="72"/>
      <c r="N205" s="60"/>
      <c r="O205" s="60"/>
    </row>
    <row r="206" spans="5:15" ht="15">
      <c r="E206" s="72"/>
      <c r="N206" s="60"/>
      <c r="O206" s="60"/>
    </row>
    <row r="207" spans="5:15" ht="15">
      <c r="E207" s="72"/>
      <c r="N207" s="60"/>
      <c r="O207" s="60"/>
    </row>
    <row r="208" spans="14:15" ht="15">
      <c r="N208" s="60"/>
      <c r="O208" s="60"/>
    </row>
    <row r="209" spans="14:15" ht="15">
      <c r="N209" s="60"/>
      <c r="O209" s="60"/>
    </row>
    <row r="210" spans="14:15" ht="15">
      <c r="N210" s="56"/>
      <c r="O210" s="56"/>
    </row>
    <row r="211" spans="14:15" ht="15">
      <c r="N211" s="56"/>
      <c r="O211" s="56"/>
    </row>
    <row r="212" spans="14:15" ht="15">
      <c r="N212" s="56"/>
      <c r="O212" s="56"/>
    </row>
    <row r="213" spans="14:15" ht="15">
      <c r="N213" s="56"/>
      <c r="O213" s="56"/>
    </row>
    <row r="214" spans="14:15" ht="15">
      <c r="N214" s="56"/>
      <c r="O214" s="56"/>
    </row>
    <row r="215" spans="14:15" ht="15">
      <c r="N215" s="56"/>
      <c r="O215" s="56"/>
    </row>
    <row r="216" spans="14:15" ht="15">
      <c r="N216" s="56"/>
      <c r="O216" s="56"/>
    </row>
    <row r="217" spans="14:15" ht="15">
      <c r="N217" s="56"/>
      <c r="O217" s="56"/>
    </row>
    <row r="218" spans="14:15" ht="15">
      <c r="N218" s="56"/>
      <c r="O218" s="56"/>
    </row>
    <row r="219" spans="14:15" ht="15">
      <c r="N219" s="56"/>
      <c r="O219" s="56"/>
    </row>
    <row r="220" spans="14:15" ht="15">
      <c r="N220" s="56"/>
      <c r="O220" s="56"/>
    </row>
    <row r="221" spans="14:15" ht="15">
      <c r="N221" s="56"/>
      <c r="O221" s="56"/>
    </row>
    <row r="222" spans="14:15" ht="15">
      <c r="N222" s="56"/>
      <c r="O222" s="56"/>
    </row>
    <row r="223" spans="14:15" ht="15">
      <c r="N223" s="56"/>
      <c r="O223" s="56"/>
    </row>
    <row r="224" spans="14:15" ht="15">
      <c r="N224" s="56"/>
      <c r="O224" s="56"/>
    </row>
    <row r="225" ht="15">
      <c r="N225" s="56"/>
    </row>
    <row r="226" ht="15">
      <c r="N226" s="56"/>
    </row>
    <row r="227" ht="15">
      <c r="N227" s="56"/>
    </row>
    <row r="228" ht="15">
      <c r="N228" s="56"/>
    </row>
    <row r="229" ht="15">
      <c r="N229" s="56"/>
    </row>
    <row r="230" ht="15">
      <c r="N230" s="56"/>
    </row>
    <row r="231" ht="15">
      <c r="N231" s="56"/>
    </row>
    <row r="232" ht="15">
      <c r="N232" s="56"/>
    </row>
    <row r="233" ht="15">
      <c r="N233" s="56"/>
    </row>
    <row r="234" ht="15">
      <c r="N234" s="5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11.57421875" style="0" customWidth="1"/>
    <col min="2" max="2" width="10.28125" style="0" customWidth="1"/>
    <col min="3" max="3" width="13.28125" style="0" customWidth="1"/>
    <col min="4" max="4" width="11.28125" style="0" customWidth="1"/>
    <col min="5" max="5" width="11.7109375" style="0" customWidth="1"/>
    <col min="12" max="12" width="9.421875" style="0" bestFit="1" customWidth="1"/>
  </cols>
  <sheetData>
    <row r="1" spans="1:10" ht="15.75">
      <c r="A1" s="39" t="str">
        <f>'Model "Case A"'!A1</f>
        <v>Mid-Atlantic Solar Energy Industries Association</v>
      </c>
      <c r="J1" s="81" t="str">
        <f>'Model "Case A"'!J1</f>
        <v>copyright 4-6-12 Lyle Rawlings</v>
      </c>
    </row>
    <row r="2" spans="1:12" ht="15.75">
      <c r="A2" s="39" t="str">
        <f>'Model "Case A"'!A2</f>
        <v>NJ SREC Supply vs. Demand Calculations by Month Based on User Input</v>
      </c>
      <c r="J2" s="81" t="str">
        <f>'Model "Case A"'!J2</f>
        <v>Rev date</v>
      </c>
      <c r="K2" s="81"/>
      <c r="L2" s="87">
        <v>41653</v>
      </c>
    </row>
    <row r="3" spans="1:12" ht="15.75">
      <c r="A3" s="39"/>
      <c r="J3" s="81"/>
      <c r="K3" s="81"/>
      <c r="L3" s="81"/>
    </row>
    <row r="4" spans="1:12" ht="15.75">
      <c r="A4" s="39"/>
      <c r="J4" s="81"/>
      <c r="K4" s="81"/>
      <c r="L4" s="81"/>
    </row>
    <row r="5" ht="15.75">
      <c r="A5" s="82" t="s">
        <v>58</v>
      </c>
    </row>
    <row r="6" spans="1:5" ht="39">
      <c r="A6" s="14" t="s">
        <v>0</v>
      </c>
      <c r="B6" s="14" t="s">
        <v>57</v>
      </c>
      <c r="C6" s="14" t="s">
        <v>55</v>
      </c>
      <c r="D6" s="14" t="s">
        <v>56</v>
      </c>
      <c r="E6" s="14" t="s">
        <v>47</v>
      </c>
    </row>
    <row r="7" spans="1:5" ht="15">
      <c r="A7" s="13">
        <v>2012</v>
      </c>
      <c r="B7" s="83">
        <f>SUM('Model "Case A"'!E29:E40)/1000</f>
        <v>463.2957969999999</v>
      </c>
      <c r="C7" s="83">
        <f>'Model "Case A"'!I40</f>
        <v>442000</v>
      </c>
      <c r="D7" s="83">
        <f>'Model "Case A"'!H40</f>
        <v>704686.4667701145</v>
      </c>
      <c r="E7" s="83">
        <f>'Model "Case A"'!K40</f>
        <v>0</v>
      </c>
    </row>
    <row r="8" spans="1:5" ht="15">
      <c r="A8" s="13">
        <f aca="true" t="shared" si="0" ref="A8:A19">1+A7</f>
        <v>2013</v>
      </c>
      <c r="B8" s="83">
        <f>SUM('Model "Case A"'!E41:E52)/1000</f>
        <v>295.7156</v>
      </c>
      <c r="C8" s="83">
        <f>'Model "Case A"'!I52</f>
        <v>596000</v>
      </c>
      <c r="D8" s="83">
        <f>'Model "Case A"'!H52</f>
        <v>1151472.5367502144</v>
      </c>
      <c r="E8" s="83">
        <f>'Model "Case A"'!K52</f>
        <v>262686.4667701145</v>
      </c>
    </row>
    <row r="9" spans="1:5" ht="15">
      <c r="A9" s="13">
        <f t="shared" si="0"/>
        <v>2014</v>
      </c>
      <c r="B9" s="83">
        <f>SUM('Model "Case A"'!E53:E64)/1000</f>
        <v>171.6132</v>
      </c>
      <c r="C9" s="83">
        <f>'Model "Case A"'!I64</f>
        <v>1616500</v>
      </c>
      <c r="D9" s="83">
        <f>'Model "Case A"'!H64</f>
        <v>1423949.739955343</v>
      </c>
      <c r="E9" s="83">
        <f>'Model "Case A"'!K64</f>
        <v>818159.003520329</v>
      </c>
    </row>
    <row r="10" spans="1:5" ht="15">
      <c r="A10" s="13">
        <f t="shared" si="0"/>
        <v>2015</v>
      </c>
      <c r="B10" s="83">
        <f>SUM('Model "Case A"'!E65:E76)/1000</f>
        <v>204</v>
      </c>
      <c r="C10" s="83">
        <f>'Model "Case A"'!I76</f>
        <v>1955900</v>
      </c>
      <c r="D10" s="83">
        <f>'Model "Case A"'!H76</f>
        <v>1665423.3699621886</v>
      </c>
      <c r="E10" s="83">
        <f>'Model "Case A"'!K76</f>
        <v>625608.7434756719</v>
      </c>
    </row>
    <row r="11" spans="1:5" ht="15">
      <c r="A11" s="13">
        <f t="shared" si="0"/>
        <v>2016</v>
      </c>
      <c r="B11" s="83">
        <f>SUM('Model "Case A"'!E77:E88)/1000</f>
        <v>204</v>
      </c>
      <c r="C11" s="83">
        <f>'Model "Case A"'!I88</f>
        <v>2222600</v>
      </c>
      <c r="D11" s="83">
        <f>'Model "Case A"'!H88</f>
        <v>1920165.2847140983</v>
      </c>
      <c r="E11" s="83">
        <f>'Model "Case A"'!K88</f>
        <v>335132.1134378603</v>
      </c>
    </row>
    <row r="12" spans="1:5" ht="15">
      <c r="A12" s="13">
        <f t="shared" si="0"/>
        <v>2017</v>
      </c>
      <c r="B12" s="83">
        <f>SUM('Model "Case A"'!E89:E100)/1000</f>
        <v>240</v>
      </c>
      <c r="C12" s="83">
        <f>'Model "Case A"'!I100</f>
        <v>2454700</v>
      </c>
      <c r="D12" s="83">
        <f>'Model "Case A"'!H100</f>
        <v>2190799.495014528</v>
      </c>
      <c r="E12" s="83">
        <f>'Model "Case A"'!K100</f>
        <v>32697.39815195836</v>
      </c>
    </row>
    <row r="13" spans="1:5" ht="15">
      <c r="A13" s="13">
        <f t="shared" si="0"/>
        <v>2018</v>
      </c>
      <c r="B13" s="83">
        <f>SUM('Model "Case A"'!E101:E112)/1000</f>
        <v>240</v>
      </c>
      <c r="C13" s="83">
        <f>'Model "Case A"'!I112</f>
        <v>2650900</v>
      </c>
      <c r="D13" s="83">
        <f>'Model "Case A"'!H112</f>
        <v>2482399.495014528</v>
      </c>
      <c r="E13" s="83">
        <f>'Model "Case A"'!K112</f>
        <v>0</v>
      </c>
    </row>
    <row r="14" spans="1:5" ht="15">
      <c r="A14" s="13">
        <f t="shared" si="0"/>
        <v>2019</v>
      </c>
      <c r="B14" s="83">
        <f>SUM('Model "Case A"'!E113:E124)/1000</f>
        <v>204</v>
      </c>
      <c r="C14" s="83">
        <f>'Model "Case A"'!I124</f>
        <v>2759200</v>
      </c>
      <c r="D14" s="83">
        <f>'Model "Case A"'!H124</f>
        <v>2751225.284714099</v>
      </c>
      <c r="E14" s="83">
        <f>'Model "Case A"'!K124</f>
        <v>0</v>
      </c>
    </row>
    <row r="15" spans="1:5" ht="15">
      <c r="A15" s="13">
        <f t="shared" si="0"/>
        <v>2020</v>
      </c>
      <c r="B15" s="83">
        <f>SUM('Model "Case A"'!E125:E136)/1000</f>
        <v>0</v>
      </c>
      <c r="C15" s="83">
        <f>'Model "Case A"'!I136</f>
        <v>2869800</v>
      </c>
      <c r="D15" s="83">
        <f>'Model "Case A"'!H136</f>
        <v>2870031.426345</v>
      </c>
      <c r="E15" s="83">
        <f>'Model "Case A"'!K136</f>
        <v>0</v>
      </c>
    </row>
    <row r="16" spans="1:5" ht="15">
      <c r="A16" s="13">
        <f t="shared" si="0"/>
        <v>2021</v>
      </c>
      <c r="B16" s="83">
        <f>SUM('Model "Case A"'!E137:E148)/1000</f>
        <v>180</v>
      </c>
      <c r="C16" s="83">
        <f>'Model "Case A"'!I148</f>
        <v>2982800</v>
      </c>
      <c r="D16" s="83">
        <f>'Model "Case A"'!H148</f>
        <v>2983902.477847146</v>
      </c>
      <c r="E16" s="83">
        <f>'Model "Case A"'!K148</f>
        <v>231.4263450000435</v>
      </c>
    </row>
    <row r="17" spans="1:5" ht="15">
      <c r="A17" s="13">
        <f t="shared" si="0"/>
        <v>2022</v>
      </c>
      <c r="B17" s="83">
        <f>SUM('Model "Case A"'!E149:E160)/1000</f>
        <v>48</v>
      </c>
      <c r="C17" s="83">
        <f>'Model "Case A"'!I160</f>
        <v>3098100</v>
      </c>
      <c r="D17" s="83">
        <f>'Model "Case A"'!H160</f>
        <v>3119097.0400789054</v>
      </c>
      <c r="E17" s="83">
        <f>'Model "Case A"'!K160</f>
        <v>1333.9041921459138</v>
      </c>
    </row>
    <row r="18" spans="1:5" ht="15">
      <c r="A18" s="13">
        <f t="shared" si="0"/>
        <v>2023</v>
      </c>
      <c r="B18" s="83">
        <f>SUM('Model "Case A"'!E161:E172)/1000</f>
        <v>96</v>
      </c>
      <c r="C18" s="83">
        <f>'Model "Case A"'!I172</f>
        <v>3215800</v>
      </c>
      <c r="D18" s="83">
        <f>'Model "Case A"'!H172</f>
        <v>3207782.6538128112</v>
      </c>
      <c r="E18" s="83">
        <f>'Model "Case A"'!K172</f>
        <v>22330.944271051325</v>
      </c>
    </row>
    <row r="19" spans="1:5" ht="15">
      <c r="A19" s="13">
        <f t="shared" si="0"/>
        <v>2024</v>
      </c>
      <c r="B19" s="83">
        <f>SUM('Model "Case A"'!E173:E184)/1000</f>
        <v>96</v>
      </c>
      <c r="C19" s="83">
        <f>'Model "Case A"'!I184</f>
        <v>3336000</v>
      </c>
      <c r="D19" s="83">
        <f>'Model "Case A"'!H184</f>
        <v>3324422.653812811</v>
      </c>
      <c r="E19" s="83">
        <f>'Model "Case A"'!K184</f>
        <v>14313.59808386257</v>
      </c>
    </row>
    <row r="20" ht="15">
      <c r="B20" s="76"/>
    </row>
    <row r="31" spans="2:5" ht="15">
      <c r="B31" s="76"/>
      <c r="C31" s="76"/>
      <c r="D31" s="76"/>
      <c r="E31" s="7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34"/>
  <sheetViews>
    <sheetView zoomScale="70" zoomScaleNormal="70" zoomScalePageLayoutView="0" workbookViewId="0" topLeftCell="A1">
      <selection activeCell="J9" sqref="J9"/>
    </sheetView>
  </sheetViews>
  <sheetFormatPr defaultColWidth="9.140625" defaultRowHeight="15"/>
  <cols>
    <col min="1" max="1" width="13.8515625" style="0" customWidth="1"/>
    <col min="2" max="2" width="8.28125" style="0" customWidth="1"/>
    <col min="3" max="3" width="14.140625" style="0" customWidth="1"/>
    <col min="4" max="5" width="14.8515625" style="0" customWidth="1"/>
    <col min="6" max="6" width="13.8515625" style="0" customWidth="1"/>
    <col min="7" max="7" width="14.7109375" style="0" customWidth="1"/>
    <col min="8" max="8" width="12.7109375" style="0" customWidth="1"/>
    <col min="9" max="9" width="14.8515625" style="0" customWidth="1"/>
    <col min="10" max="11" width="16.140625" style="0" customWidth="1"/>
    <col min="12" max="12" width="15.140625" style="0" customWidth="1"/>
    <col min="13" max="13" width="16.00390625" style="0" customWidth="1"/>
    <col min="14" max="14" width="13.8515625" style="0" customWidth="1"/>
    <col min="15" max="15" width="12.8515625" style="0" customWidth="1"/>
    <col min="16" max="16" width="12.421875" style="0" customWidth="1"/>
    <col min="17" max="17" width="11.7109375" style="0" customWidth="1"/>
  </cols>
  <sheetData>
    <row r="1" spans="1:12" ht="20.25">
      <c r="A1" s="45" t="s">
        <v>29</v>
      </c>
      <c r="B1" s="1"/>
      <c r="C1" s="1"/>
      <c r="E1" s="1"/>
      <c r="F1" s="1"/>
      <c r="J1" s="1" t="s">
        <v>28</v>
      </c>
      <c r="K1" s="1"/>
      <c r="L1" s="1"/>
    </row>
    <row r="2" spans="1:12" ht="20.25">
      <c r="A2" s="45" t="s">
        <v>39</v>
      </c>
      <c r="B2" s="1"/>
      <c r="C2" s="1"/>
      <c r="D2" s="1"/>
      <c r="E2" s="1"/>
      <c r="F2" s="1"/>
      <c r="J2" s="1" t="s">
        <v>30</v>
      </c>
      <c r="K2" s="1"/>
      <c r="L2" s="51">
        <v>41653</v>
      </c>
    </row>
    <row r="3" spans="2:9" ht="15">
      <c r="B3" s="1"/>
      <c r="C3" s="1"/>
      <c r="D3" s="1"/>
      <c r="E3" s="1"/>
      <c r="F3" s="1"/>
      <c r="H3" s="1"/>
      <c r="I3" s="32"/>
    </row>
    <row r="4" spans="1:6" ht="15.75">
      <c r="A4" s="38" t="s">
        <v>38</v>
      </c>
      <c r="B4" s="1"/>
      <c r="C4" s="1"/>
      <c r="D4" s="1"/>
      <c r="E4" s="1"/>
      <c r="F4" s="1"/>
    </row>
    <row r="5" spans="1:6" ht="15.75">
      <c r="A5" s="38" t="s">
        <v>36</v>
      </c>
      <c r="B5" s="1"/>
      <c r="C5" s="1"/>
      <c r="D5" s="1"/>
      <c r="E5" s="1"/>
      <c r="F5" s="1"/>
    </row>
    <row r="6" spans="1:8" ht="15">
      <c r="A6" s="11"/>
      <c r="B6" s="1"/>
      <c r="C6" s="1"/>
      <c r="D6" s="1"/>
      <c r="E6" s="1"/>
      <c r="F6" s="1"/>
      <c r="G6" s="1"/>
      <c r="H6" s="10"/>
    </row>
    <row r="7" spans="1:8" ht="18">
      <c r="A7" s="42" t="s">
        <v>42</v>
      </c>
      <c r="B7" s="1"/>
      <c r="C7" s="1"/>
      <c r="D7" s="1"/>
      <c r="E7" s="1"/>
      <c r="F7" s="1"/>
      <c r="G7" s="1"/>
      <c r="H7" s="10"/>
    </row>
    <row r="8" spans="1:8" ht="15">
      <c r="A8" s="1"/>
      <c r="B8" s="1"/>
      <c r="C8" s="1"/>
      <c r="D8" s="1"/>
      <c r="E8" s="1"/>
      <c r="F8" s="1"/>
      <c r="G8" s="1"/>
      <c r="H8" s="10"/>
    </row>
    <row r="9" spans="1:8" ht="54" customHeight="1">
      <c r="A9" s="15" t="s">
        <v>0</v>
      </c>
      <c r="B9" s="15" t="s">
        <v>31</v>
      </c>
      <c r="C9" s="15" t="s">
        <v>34</v>
      </c>
      <c r="D9" s="15" t="s">
        <v>32</v>
      </c>
      <c r="F9" s="1"/>
      <c r="G9" s="1"/>
      <c r="H9" s="1"/>
    </row>
    <row r="10" spans="1:8" ht="17.25" customHeight="1">
      <c r="A10" s="30">
        <v>2012</v>
      </c>
      <c r="B10" s="18" t="s">
        <v>33</v>
      </c>
      <c r="C10" s="17">
        <v>76935091</v>
      </c>
      <c r="D10" s="31">
        <v>442</v>
      </c>
      <c r="F10" s="35"/>
      <c r="G10" s="1"/>
      <c r="H10" s="1"/>
    </row>
    <row r="11" spans="1:8" ht="15">
      <c r="A11" s="16">
        <v>2013</v>
      </c>
      <c r="B11" s="18" t="s">
        <v>33</v>
      </c>
      <c r="C11" s="17">
        <f aca="true" t="shared" si="0" ref="C11:C22">C10*(1+$D$24)</f>
        <v>77889086.1284</v>
      </c>
      <c r="D11" s="31">
        <v>596</v>
      </c>
      <c r="F11" s="1"/>
      <c r="G11" s="1"/>
      <c r="H11" s="1"/>
    </row>
    <row r="12" spans="1:8" ht="15">
      <c r="A12" s="16">
        <v>2014</v>
      </c>
      <c r="B12" s="37">
        <v>0.0205</v>
      </c>
      <c r="C12" s="17">
        <f t="shared" si="0"/>
        <v>78854910.79639216</v>
      </c>
      <c r="D12" s="31">
        <f aca="true" t="shared" si="1" ref="D12:D22">ROUND(B12*C12/1000,1)</f>
        <v>1616.5</v>
      </c>
      <c r="F12" s="1"/>
      <c r="G12" s="1"/>
      <c r="H12" s="1"/>
    </row>
    <row r="13" spans="1:8" ht="15">
      <c r="A13" s="16">
        <v>2015</v>
      </c>
      <c r="B13" s="37">
        <v>0.0245</v>
      </c>
      <c r="C13" s="17">
        <f t="shared" si="0"/>
        <v>79832711.69026741</v>
      </c>
      <c r="D13" s="31">
        <f t="shared" si="1"/>
        <v>1955.9</v>
      </c>
      <c r="F13" s="1"/>
      <c r="G13" s="1"/>
      <c r="H13" s="1"/>
    </row>
    <row r="14" spans="1:8" ht="15">
      <c r="A14" s="16">
        <v>2016</v>
      </c>
      <c r="B14" s="37">
        <v>0.0275</v>
      </c>
      <c r="C14" s="17">
        <f t="shared" si="0"/>
        <v>80822637.31522673</v>
      </c>
      <c r="D14" s="31">
        <f t="shared" si="1"/>
        <v>2222.6</v>
      </c>
      <c r="F14" s="1"/>
      <c r="G14" s="1"/>
      <c r="H14" s="1"/>
    </row>
    <row r="15" spans="1:8" ht="15">
      <c r="A15" s="16">
        <v>2017</v>
      </c>
      <c r="B15" s="37">
        <v>0.03</v>
      </c>
      <c r="C15" s="17">
        <f t="shared" si="0"/>
        <v>81824838.01793554</v>
      </c>
      <c r="D15" s="31">
        <f t="shared" si="1"/>
        <v>2454.7</v>
      </c>
      <c r="F15" s="1"/>
      <c r="G15" s="1"/>
      <c r="H15" s="1"/>
    </row>
    <row r="16" spans="1:8" ht="15">
      <c r="A16" s="16">
        <v>2018</v>
      </c>
      <c r="B16" s="37">
        <v>0.032</v>
      </c>
      <c r="C16" s="17">
        <f t="shared" si="0"/>
        <v>82839466.00935794</v>
      </c>
      <c r="D16" s="31">
        <f t="shared" si="1"/>
        <v>2650.9</v>
      </c>
      <c r="F16" s="1"/>
      <c r="G16" s="1"/>
      <c r="H16" s="1"/>
    </row>
    <row r="17" spans="1:8" ht="15">
      <c r="A17" s="16">
        <v>2019</v>
      </c>
      <c r="B17" s="37">
        <v>0.0329</v>
      </c>
      <c r="C17" s="17">
        <f t="shared" si="0"/>
        <v>83866675.38787398</v>
      </c>
      <c r="D17" s="31">
        <f t="shared" si="1"/>
        <v>2759.2</v>
      </c>
      <c r="F17" s="1"/>
      <c r="G17" s="1"/>
      <c r="H17" s="1"/>
    </row>
    <row r="18" spans="1:8" ht="15">
      <c r="A18" s="16">
        <v>2020</v>
      </c>
      <c r="B18" s="37">
        <v>0.0338</v>
      </c>
      <c r="C18" s="17">
        <f t="shared" si="0"/>
        <v>84906622.1626836</v>
      </c>
      <c r="D18" s="31">
        <f t="shared" si="1"/>
        <v>2869.8</v>
      </c>
      <c r="F18" s="1"/>
      <c r="G18" s="1"/>
      <c r="H18" s="1"/>
    </row>
    <row r="19" spans="1:8" ht="15">
      <c r="A19" s="16">
        <v>2021</v>
      </c>
      <c r="B19" s="37">
        <v>0.0347</v>
      </c>
      <c r="C19" s="17">
        <f t="shared" si="0"/>
        <v>85959464.27750088</v>
      </c>
      <c r="D19" s="31">
        <f t="shared" si="1"/>
        <v>2982.8</v>
      </c>
      <c r="F19" s="1"/>
      <c r="G19" s="1"/>
      <c r="H19" s="1"/>
    </row>
    <row r="20" spans="1:8" ht="15">
      <c r="A20" s="16">
        <v>2022</v>
      </c>
      <c r="B20" s="37">
        <v>0.0356</v>
      </c>
      <c r="C20" s="17">
        <f t="shared" si="0"/>
        <v>87025361.63454188</v>
      </c>
      <c r="D20" s="31">
        <f t="shared" si="1"/>
        <v>3098.1</v>
      </c>
      <c r="F20" s="1"/>
      <c r="G20" s="1"/>
      <c r="H20" s="1"/>
    </row>
    <row r="21" spans="1:8" ht="15">
      <c r="A21" s="16">
        <v>2023</v>
      </c>
      <c r="B21" s="37">
        <v>0.0365</v>
      </c>
      <c r="C21" s="17">
        <f t="shared" si="0"/>
        <v>88104476.1188102</v>
      </c>
      <c r="D21" s="31">
        <f t="shared" si="1"/>
        <v>3215.8</v>
      </c>
      <c r="F21" s="1"/>
      <c r="G21" s="1"/>
      <c r="H21" s="1"/>
    </row>
    <row r="22" spans="1:8" ht="15">
      <c r="A22" s="16">
        <v>2024</v>
      </c>
      <c r="B22" s="37">
        <v>0.0374</v>
      </c>
      <c r="C22" s="17">
        <f t="shared" si="0"/>
        <v>89196971.62268345</v>
      </c>
      <c r="D22" s="31">
        <f t="shared" si="1"/>
        <v>3336</v>
      </c>
      <c r="F22" s="1"/>
      <c r="G22" s="1"/>
      <c r="H22" s="1"/>
    </row>
    <row r="23" spans="1:8" ht="17.25">
      <c r="A23" s="33" t="s">
        <v>43</v>
      </c>
      <c r="B23" s="34"/>
      <c r="C23" s="35"/>
      <c r="D23" s="36"/>
      <c r="F23" s="1"/>
      <c r="G23" s="1"/>
      <c r="H23" s="1"/>
    </row>
    <row r="24" spans="1:8" ht="17.25">
      <c r="A24" s="33" t="s">
        <v>35</v>
      </c>
      <c r="B24" s="34"/>
      <c r="C24" s="35"/>
      <c r="D24" s="44">
        <v>0.0124</v>
      </c>
      <c r="F24" s="1"/>
      <c r="G24" s="1"/>
      <c r="H24" s="1"/>
    </row>
    <row r="25" spans="1:8" ht="15">
      <c r="A25" s="1"/>
      <c r="B25" s="1"/>
      <c r="C25" s="1"/>
      <c r="D25" s="1"/>
      <c r="F25" s="1"/>
      <c r="G25" s="12"/>
      <c r="H25" s="1"/>
    </row>
    <row r="26" spans="1:8" s="40" customFormat="1" ht="18">
      <c r="A26" s="43" t="s">
        <v>37</v>
      </c>
      <c r="E26" s="41"/>
      <c r="G26" s="39"/>
      <c r="H26" s="39"/>
    </row>
    <row r="27" ht="10.5" customHeight="1"/>
    <row r="28" spans="1:15" ht="61.5" customHeight="1">
      <c r="A28" s="13" t="s">
        <v>0</v>
      </c>
      <c r="B28" s="13" t="s">
        <v>1</v>
      </c>
      <c r="C28" s="14" t="s">
        <v>41</v>
      </c>
      <c r="D28" s="14" t="s">
        <v>40</v>
      </c>
      <c r="E28" s="52" t="s">
        <v>2</v>
      </c>
      <c r="F28" s="14" t="s">
        <v>3</v>
      </c>
      <c r="G28" s="14" t="s">
        <v>4</v>
      </c>
      <c r="H28" s="14" t="s">
        <v>5</v>
      </c>
      <c r="I28" s="14" t="s">
        <v>6</v>
      </c>
      <c r="J28" s="14" t="s">
        <v>50</v>
      </c>
      <c r="K28" s="14" t="s">
        <v>48</v>
      </c>
      <c r="L28" s="29" t="s">
        <v>49</v>
      </c>
      <c r="M28" s="54" t="s">
        <v>51</v>
      </c>
      <c r="N28" s="14" t="s">
        <v>52</v>
      </c>
      <c r="O28" s="57" t="s">
        <v>53</v>
      </c>
    </row>
    <row r="29" spans="1:15" ht="15">
      <c r="A29" s="6"/>
      <c r="B29" s="3" t="s">
        <v>12</v>
      </c>
      <c r="C29" s="50">
        <v>1246.16</v>
      </c>
      <c r="D29" s="46">
        <f>130*C29/1165</f>
        <v>139.0564806866953</v>
      </c>
      <c r="E29" s="64">
        <f>'Model "Case A"'!E29</f>
        <v>40737.814</v>
      </c>
      <c r="F29" s="19">
        <v>380279</v>
      </c>
      <c r="G29" s="20">
        <f aca="true" t="shared" si="2" ref="G29:G92">D29*F29/1000</f>
        <v>52880.259419055794</v>
      </c>
      <c r="H29" s="25"/>
      <c r="I29" s="25"/>
      <c r="J29" s="25"/>
      <c r="K29" s="25"/>
      <c r="L29" s="25"/>
      <c r="M29" s="25"/>
      <c r="N29" s="58"/>
      <c r="O29" s="59"/>
    </row>
    <row r="30" spans="1:15" ht="15">
      <c r="A30" s="7"/>
      <c r="B30" s="4" t="s">
        <v>13</v>
      </c>
      <c r="C30" s="22"/>
      <c r="D30" s="47">
        <f>133*C29/1165</f>
        <v>142.26547639484977</v>
      </c>
      <c r="E30" s="65">
        <f>'Model "Case A"'!E30</f>
        <v>18713.531000000014</v>
      </c>
      <c r="F30" s="2">
        <f aca="true" t="shared" si="3" ref="F30:F93">F29+E30</f>
        <v>398992.531</v>
      </c>
      <c r="G30" s="21">
        <f t="shared" si="2"/>
        <v>56762.86250070186</v>
      </c>
      <c r="H30" s="22"/>
      <c r="I30" s="22"/>
      <c r="J30" s="22"/>
      <c r="K30" s="22"/>
      <c r="L30" s="22"/>
      <c r="M30" s="22"/>
      <c r="N30" s="60"/>
      <c r="O30" s="59"/>
    </row>
    <row r="31" spans="1:15" ht="15">
      <c r="A31" s="7"/>
      <c r="B31" s="4" t="s">
        <v>14</v>
      </c>
      <c r="C31" s="22"/>
      <c r="D31" s="47">
        <f>127*C29/1165</f>
        <v>135.8474849785408</v>
      </c>
      <c r="E31" s="65">
        <f>'Model "Case A"'!E31</f>
        <v>27825.338000000007</v>
      </c>
      <c r="F31" s="2">
        <f t="shared" si="3"/>
        <v>426817.869</v>
      </c>
      <c r="G31" s="21">
        <f t="shared" si="2"/>
        <v>57982.13404755029</v>
      </c>
      <c r="H31" s="22"/>
      <c r="I31" s="22"/>
      <c r="J31" s="22"/>
      <c r="K31" s="22"/>
      <c r="L31" s="22"/>
      <c r="M31" s="22"/>
      <c r="N31" s="60"/>
      <c r="O31" s="59"/>
    </row>
    <row r="32" spans="1:15" ht="15">
      <c r="A32" s="7"/>
      <c r="B32" s="4" t="s">
        <v>15</v>
      </c>
      <c r="C32" s="22"/>
      <c r="D32" s="47">
        <f>102*C29/1165</f>
        <v>109.10585407725323</v>
      </c>
      <c r="E32" s="65">
        <f>'Model "Case A"'!E32</f>
        <v>18822.644999999997</v>
      </c>
      <c r="F32" s="2">
        <f t="shared" si="3"/>
        <v>445640.514</v>
      </c>
      <c r="G32" s="21">
        <f t="shared" si="2"/>
        <v>48621.988891396126</v>
      </c>
      <c r="H32" s="22"/>
      <c r="I32" s="22"/>
      <c r="J32" s="22"/>
      <c r="K32" s="22"/>
      <c r="L32" s="22"/>
      <c r="M32" s="22"/>
      <c r="N32" s="60"/>
      <c r="O32" s="59"/>
    </row>
    <row r="33" spans="1:15" ht="15">
      <c r="A33" s="7"/>
      <c r="B33" s="4" t="s">
        <v>16</v>
      </c>
      <c r="C33" s="22"/>
      <c r="D33" s="47">
        <f>88*C29/1165</f>
        <v>94.13054077253219</v>
      </c>
      <c r="E33" s="65">
        <f>'Model "Case A"'!E33</f>
        <v>42221.91099999994</v>
      </c>
      <c r="F33" s="2">
        <f t="shared" si="3"/>
        <v>487862.425</v>
      </c>
      <c r="G33" s="21">
        <f t="shared" si="2"/>
        <v>45922.75388784892</v>
      </c>
      <c r="H33" s="22"/>
      <c r="I33" s="22"/>
      <c r="J33" s="22"/>
      <c r="K33" s="22"/>
      <c r="L33" s="22"/>
      <c r="M33" s="22"/>
      <c r="N33" s="60"/>
      <c r="O33" s="59"/>
    </row>
    <row r="34" spans="1:15" ht="15">
      <c r="A34" s="8" t="s">
        <v>17</v>
      </c>
      <c r="B34" s="4" t="s">
        <v>18</v>
      </c>
      <c r="C34" s="22"/>
      <c r="D34" s="47">
        <f>59*C29/1165</f>
        <v>63.110248927038626</v>
      </c>
      <c r="E34" s="65">
        <f>'Model "Case A"'!E34</f>
        <v>41580.812999999995</v>
      </c>
      <c r="F34" s="2">
        <f t="shared" si="3"/>
        <v>529443.238</v>
      </c>
      <c r="G34" s="21">
        <f t="shared" si="2"/>
        <v>33413.294542917356</v>
      </c>
      <c r="H34" s="22"/>
      <c r="I34" s="22"/>
      <c r="J34" s="22"/>
      <c r="K34" s="22"/>
      <c r="L34" s="22"/>
      <c r="M34" s="22"/>
      <c r="N34" s="60"/>
      <c r="O34" s="59"/>
    </row>
    <row r="35" spans="1:15" ht="15">
      <c r="A35" s="7"/>
      <c r="B35" s="4" t="s">
        <v>19</v>
      </c>
      <c r="C35" s="22"/>
      <c r="D35" s="47">
        <f>46*C29/1165</f>
        <v>49.2046008583691</v>
      </c>
      <c r="E35" s="65">
        <f>'Model "Case A"'!E35</f>
        <v>35478.50899999999</v>
      </c>
      <c r="F35" s="2">
        <f t="shared" si="3"/>
        <v>564921.747</v>
      </c>
      <c r="G35" s="21">
        <f t="shared" si="2"/>
        <v>27796.74907734757</v>
      </c>
      <c r="H35" s="22"/>
      <c r="I35" s="22"/>
      <c r="J35" s="22"/>
      <c r="K35" s="22"/>
      <c r="L35" s="22"/>
      <c r="M35" s="22"/>
      <c r="N35" s="60"/>
      <c r="O35" s="59"/>
    </row>
    <row r="36" spans="1:15" ht="15">
      <c r="A36" s="7"/>
      <c r="B36" s="4" t="s">
        <v>7</v>
      </c>
      <c r="C36" s="22"/>
      <c r="D36" s="47">
        <f>59*C29/1165</f>
        <v>63.110248927038626</v>
      </c>
      <c r="E36" s="65">
        <f>'Model "Case A"'!E36</f>
        <v>84952.02499999992</v>
      </c>
      <c r="F36" s="2">
        <f t="shared" si="3"/>
        <v>649873.7719999999</v>
      </c>
      <c r="G36" s="21">
        <f t="shared" si="2"/>
        <v>41013.69552207354</v>
      </c>
      <c r="H36" s="22"/>
      <c r="I36" s="22"/>
      <c r="J36" s="22"/>
      <c r="K36" s="22"/>
      <c r="L36" s="22"/>
      <c r="M36" s="22"/>
      <c r="N36" s="60"/>
      <c r="O36" s="59"/>
    </row>
    <row r="37" spans="1:15" ht="15">
      <c r="A37" s="7"/>
      <c r="B37" s="4" t="s">
        <v>8</v>
      </c>
      <c r="C37" s="22"/>
      <c r="D37" s="47">
        <f>75*C29/1165</f>
        <v>80.22489270386266</v>
      </c>
      <c r="E37" s="65">
        <f>'Model "Case A"'!E37</f>
        <v>38469.90300000005</v>
      </c>
      <c r="F37" s="2">
        <f t="shared" si="3"/>
        <v>688343.6749999999</v>
      </c>
      <c r="G37" s="21">
        <f t="shared" si="2"/>
        <v>55222.29747025751</v>
      </c>
      <c r="H37" s="22"/>
      <c r="I37" s="22"/>
      <c r="J37" s="22"/>
      <c r="K37" s="22"/>
      <c r="L37" s="22"/>
      <c r="M37" s="22"/>
      <c r="N37" s="60"/>
      <c r="O37" s="59"/>
    </row>
    <row r="38" spans="1:20" ht="15">
      <c r="A38" s="7"/>
      <c r="B38" s="4" t="s">
        <v>9</v>
      </c>
      <c r="C38" s="22"/>
      <c r="D38" s="47">
        <f>103*C29/1165</f>
        <v>110.17551931330473</v>
      </c>
      <c r="E38" s="65">
        <f>'Model "Case A"'!E38</f>
        <v>41688.407999999996</v>
      </c>
      <c r="F38" s="2">
        <f t="shared" si="3"/>
        <v>730032.0829999999</v>
      </c>
      <c r="G38" s="21">
        <f t="shared" si="2"/>
        <v>80431.66385989857</v>
      </c>
      <c r="H38" s="22"/>
      <c r="I38" s="22"/>
      <c r="J38" s="22"/>
      <c r="K38" s="22"/>
      <c r="L38" s="22"/>
      <c r="M38" s="22"/>
      <c r="N38" s="60"/>
      <c r="O38" s="59"/>
      <c r="S38" s="53"/>
      <c r="T38" s="53"/>
    </row>
    <row r="39" spans="1:20" ht="15">
      <c r="A39" s="7"/>
      <c r="B39" s="4" t="s">
        <v>10</v>
      </c>
      <c r="C39" s="22"/>
      <c r="D39" s="47">
        <f>115*C29/1165</f>
        <v>123.01150214592276</v>
      </c>
      <c r="E39" s="65">
        <f>'Model "Case A"'!E39</f>
        <v>39949.7</v>
      </c>
      <c r="F39" s="2">
        <f t="shared" si="3"/>
        <v>769981.7829999998</v>
      </c>
      <c r="G39" s="21">
        <f t="shared" si="2"/>
        <v>94716.61575182591</v>
      </c>
      <c r="H39" s="22"/>
      <c r="I39" s="73"/>
      <c r="J39" s="26"/>
      <c r="K39" s="26"/>
      <c r="L39" s="22"/>
      <c r="M39" s="22"/>
      <c r="N39" s="60"/>
      <c r="O39" s="59"/>
      <c r="S39" s="53"/>
      <c r="T39" s="53"/>
    </row>
    <row r="40" spans="1:20" ht="15">
      <c r="A40" s="9"/>
      <c r="B40" s="5" t="s">
        <v>11</v>
      </c>
      <c r="C40" s="49"/>
      <c r="D40" s="48">
        <f>128*C29/1165</f>
        <v>136.91715021459228</v>
      </c>
      <c r="E40" s="66">
        <f>'Model "Case A"'!E40</f>
        <v>32855.2</v>
      </c>
      <c r="F40" s="23">
        <f t="shared" si="3"/>
        <v>802836.9829999998</v>
      </c>
      <c r="G40" s="24">
        <f t="shared" si="2"/>
        <v>109922.15179924104</v>
      </c>
      <c r="H40" s="24">
        <f>SUM(G29:G40)</f>
        <v>704686.4667701145</v>
      </c>
      <c r="I40" s="74">
        <v>442000</v>
      </c>
      <c r="J40" s="24">
        <f>H40-I40</f>
        <v>262686.4667701145</v>
      </c>
      <c r="K40" s="24">
        <v>0</v>
      </c>
      <c r="L40" s="28">
        <f>H40+K40</f>
        <v>704686.4667701145</v>
      </c>
      <c r="M40" s="55">
        <f>L40/I40</f>
        <v>1.5943132732355532</v>
      </c>
      <c r="N40" s="61">
        <f>IF(I40&gt;L40,I40-L40,0)</f>
        <v>0</v>
      </c>
      <c r="O40" s="62">
        <f>IF((L40-I40)&gt;0,L40-I40,0)</f>
        <v>262686.4667701145</v>
      </c>
      <c r="P40" s="63"/>
      <c r="Q40" s="63"/>
      <c r="S40" s="53"/>
      <c r="T40" s="53"/>
    </row>
    <row r="41" spans="1:20" ht="15">
      <c r="A41" s="6"/>
      <c r="B41" s="3" t="s">
        <v>12</v>
      </c>
      <c r="C41" s="50">
        <v>1200</v>
      </c>
      <c r="D41" s="46">
        <f>130*C41/1165</f>
        <v>133.90557939914163</v>
      </c>
      <c r="E41" s="65">
        <f>'Model "Case A"'!E41</f>
        <v>29009.4</v>
      </c>
      <c r="F41" s="2">
        <f t="shared" si="3"/>
        <v>831846.3829999998</v>
      </c>
      <c r="G41" s="20">
        <f t="shared" si="2"/>
        <v>111388.87188669525</v>
      </c>
      <c r="H41" s="25"/>
      <c r="I41" s="75"/>
      <c r="J41" s="25"/>
      <c r="K41" s="25"/>
      <c r="L41" s="77"/>
      <c r="M41" s="25"/>
      <c r="N41" s="60"/>
      <c r="O41" s="59"/>
      <c r="S41" s="53"/>
      <c r="T41" s="53"/>
    </row>
    <row r="42" spans="1:15" ht="15">
      <c r="A42" s="7"/>
      <c r="B42" s="4" t="s">
        <v>13</v>
      </c>
      <c r="C42" s="22"/>
      <c r="D42" s="47">
        <f>133*C41/1165</f>
        <v>136.99570815450645</v>
      </c>
      <c r="E42" s="65">
        <f>'Model "Case A"'!E42</f>
        <v>20855.7</v>
      </c>
      <c r="F42" s="2">
        <f t="shared" si="3"/>
        <v>852702.0829999998</v>
      </c>
      <c r="G42" s="21">
        <f t="shared" si="2"/>
        <v>116816.5257054077</v>
      </c>
      <c r="H42" s="22"/>
      <c r="I42" s="73"/>
      <c r="J42" s="22"/>
      <c r="K42" s="22"/>
      <c r="L42" s="78"/>
      <c r="M42" s="22"/>
      <c r="N42" s="60"/>
      <c r="O42" s="59"/>
    </row>
    <row r="43" spans="1:15" ht="15">
      <c r="A43" s="7"/>
      <c r="B43" s="4" t="s">
        <v>14</v>
      </c>
      <c r="C43" s="22"/>
      <c r="D43" s="47">
        <f>127*C41/1165</f>
        <v>130.8154506437768</v>
      </c>
      <c r="E43" s="65">
        <f>'Model "Case A"'!E43</f>
        <v>23325</v>
      </c>
      <c r="F43" s="2">
        <f t="shared" si="3"/>
        <v>876027.0829999998</v>
      </c>
      <c r="G43" s="21">
        <f t="shared" si="2"/>
        <v>114597.87763879824</v>
      </c>
      <c r="H43" s="22"/>
      <c r="I43" s="73"/>
      <c r="J43" s="22"/>
      <c r="K43" s="22"/>
      <c r="L43" s="78"/>
      <c r="M43" s="22"/>
      <c r="N43" s="60"/>
      <c r="O43" s="59"/>
    </row>
    <row r="44" spans="1:15" ht="15">
      <c r="A44" s="7"/>
      <c r="B44" s="4" t="s">
        <v>15</v>
      </c>
      <c r="C44" s="22"/>
      <c r="D44" s="47">
        <f>102*C41/1165</f>
        <v>105.06437768240343</v>
      </c>
      <c r="E44" s="65">
        <f>'Model "Case A"'!E44</f>
        <v>24947.3</v>
      </c>
      <c r="F44" s="2">
        <f t="shared" si="3"/>
        <v>900974.3829999998</v>
      </c>
      <c r="G44" s="21">
        <f t="shared" si="2"/>
        <v>94660.31285768238</v>
      </c>
      <c r="H44" s="22"/>
      <c r="I44" s="73"/>
      <c r="J44" s="22"/>
      <c r="K44" s="22"/>
      <c r="L44" s="78"/>
      <c r="M44" s="22"/>
      <c r="N44" s="60"/>
      <c r="O44" s="59"/>
    </row>
    <row r="45" spans="1:15" ht="15">
      <c r="A45" s="7"/>
      <c r="B45" s="4" t="s">
        <v>16</v>
      </c>
      <c r="C45" s="22"/>
      <c r="D45" s="47">
        <f>88*C41/1165</f>
        <v>90.64377682403433</v>
      </c>
      <c r="E45" s="65">
        <f>'Model "Case A"'!E45</f>
        <v>23933.4</v>
      </c>
      <c r="F45" s="2">
        <f t="shared" si="3"/>
        <v>924907.7829999998</v>
      </c>
      <c r="G45" s="21">
        <f t="shared" si="2"/>
        <v>83837.13466506437</v>
      </c>
      <c r="H45" s="22"/>
      <c r="I45" s="73"/>
      <c r="J45" s="22"/>
      <c r="K45" s="22"/>
      <c r="L45" s="78"/>
      <c r="M45" s="22"/>
      <c r="N45" s="60"/>
      <c r="O45" s="59"/>
    </row>
    <row r="46" spans="1:15" ht="15">
      <c r="A46" s="8" t="s">
        <v>20</v>
      </c>
      <c r="B46" s="4" t="s">
        <v>18</v>
      </c>
      <c r="C46" s="22"/>
      <c r="D46" s="47">
        <f>59*C41/1165</f>
        <v>60.772532188841204</v>
      </c>
      <c r="E46" s="65">
        <f>'Model "Case A"'!E46</f>
        <v>45013.7</v>
      </c>
      <c r="F46" s="2">
        <f t="shared" si="3"/>
        <v>969921.4829999998</v>
      </c>
      <c r="G46" s="21">
        <f t="shared" si="2"/>
        <v>58944.58454626609</v>
      </c>
      <c r="H46" s="22"/>
      <c r="I46" s="73"/>
      <c r="J46" s="22"/>
      <c r="K46" s="22"/>
      <c r="L46" s="78"/>
      <c r="M46" s="22"/>
      <c r="N46" s="60"/>
      <c r="O46" s="59"/>
    </row>
    <row r="47" spans="1:15" ht="15">
      <c r="A47" s="7"/>
      <c r="B47" s="4" t="s">
        <v>19</v>
      </c>
      <c r="C47" s="22"/>
      <c r="D47" s="47">
        <f>46*C41/1165</f>
        <v>47.38197424892704</v>
      </c>
      <c r="E47" s="65">
        <f>'Model "Case A"'!E47</f>
        <v>12415.3</v>
      </c>
      <c r="F47" s="2">
        <f t="shared" si="3"/>
        <v>982336.7829999998</v>
      </c>
      <c r="G47" s="21">
        <f t="shared" si="2"/>
        <v>46545.056155879814</v>
      </c>
      <c r="H47" s="22"/>
      <c r="I47" s="73"/>
      <c r="J47" s="22"/>
      <c r="K47" s="22"/>
      <c r="L47" s="78"/>
      <c r="M47" s="22"/>
      <c r="N47" s="60"/>
      <c r="O47" s="59"/>
    </row>
    <row r="48" spans="1:15" ht="15">
      <c r="A48" s="7"/>
      <c r="B48" s="4" t="s">
        <v>7</v>
      </c>
      <c r="C48" s="22"/>
      <c r="D48" s="47">
        <f>59*C41/1165</f>
        <v>60.772532188841204</v>
      </c>
      <c r="E48" s="65">
        <f>'Model "Case A"'!E48</f>
        <v>17543.1</v>
      </c>
      <c r="F48" s="2">
        <f t="shared" si="3"/>
        <v>999879.8829999998</v>
      </c>
      <c r="G48" s="21">
        <f t="shared" si="2"/>
        <v>60765.23237459227</v>
      </c>
      <c r="H48" s="22"/>
      <c r="I48" s="73"/>
      <c r="J48" s="22"/>
      <c r="K48" s="22"/>
      <c r="L48" s="78"/>
      <c r="M48" s="22"/>
      <c r="N48" s="60"/>
      <c r="O48" s="59"/>
    </row>
    <row r="49" spans="1:15" ht="15">
      <c r="A49" s="7"/>
      <c r="B49" s="4" t="s">
        <v>8</v>
      </c>
      <c r="C49" s="22"/>
      <c r="D49" s="47">
        <f>75*C41/1165</f>
        <v>77.25321888412017</v>
      </c>
      <c r="E49" s="65">
        <f>'Model "Case A"'!E49</f>
        <v>34693</v>
      </c>
      <c r="F49" s="2">
        <f t="shared" si="3"/>
        <v>1034572.8829999998</v>
      </c>
      <c r="G49" s="21">
        <f t="shared" si="2"/>
        <v>79924.08538197423</v>
      </c>
      <c r="H49" s="22"/>
      <c r="I49" s="73"/>
      <c r="J49" s="22"/>
      <c r="K49" s="22"/>
      <c r="L49" s="78"/>
      <c r="M49" s="22"/>
      <c r="N49" s="60"/>
      <c r="O49" s="59"/>
    </row>
    <row r="50" spans="1:15" ht="15">
      <c r="A50" s="7"/>
      <c r="B50" s="4" t="s">
        <v>9</v>
      </c>
      <c r="C50" s="22"/>
      <c r="D50" s="47">
        <f>103*C41/1165</f>
        <v>106.09442060085837</v>
      </c>
      <c r="E50" s="65">
        <f>'Model "Case A"'!E50</f>
        <v>18307.1</v>
      </c>
      <c r="F50" s="2">
        <f t="shared" si="3"/>
        <v>1052879.9829999998</v>
      </c>
      <c r="G50" s="21">
        <f t="shared" si="2"/>
        <v>111704.69175862658</v>
      </c>
      <c r="H50" s="22"/>
      <c r="I50" s="73"/>
      <c r="J50" s="22"/>
      <c r="K50" s="22"/>
      <c r="L50" s="78"/>
      <c r="M50" s="22"/>
      <c r="N50" s="60"/>
      <c r="O50" s="59"/>
    </row>
    <row r="51" spans="1:15" ht="15">
      <c r="A51" s="7"/>
      <c r="B51" s="4" t="s">
        <v>10</v>
      </c>
      <c r="C51" s="22"/>
      <c r="D51" s="47">
        <f>115*C41/1165</f>
        <v>118.45493562231759</v>
      </c>
      <c r="E51" s="65">
        <f>'Model "Case A"'!E51</f>
        <v>23047.8</v>
      </c>
      <c r="F51" s="2">
        <f t="shared" si="3"/>
        <v>1075927.7829999998</v>
      </c>
      <c r="G51" s="21">
        <f t="shared" si="2"/>
        <v>127448.95626952787</v>
      </c>
      <c r="H51" s="22"/>
      <c r="I51" s="73"/>
      <c r="J51" s="22"/>
      <c r="K51" s="22"/>
      <c r="L51" s="78"/>
      <c r="M51" s="22"/>
      <c r="N51" s="60"/>
      <c r="O51" s="59"/>
    </row>
    <row r="52" spans="1:17" ht="15">
      <c r="A52" s="9"/>
      <c r="B52" s="5" t="s">
        <v>11</v>
      </c>
      <c r="C52" s="49"/>
      <c r="D52" s="48">
        <f>128*C41/1165</f>
        <v>131.84549356223175</v>
      </c>
      <c r="E52" s="66">
        <f>'Model "Case A"'!E52</f>
        <v>22624.8</v>
      </c>
      <c r="F52" s="23">
        <f t="shared" si="3"/>
        <v>1098552.5829999999</v>
      </c>
      <c r="G52" s="24">
        <f t="shared" si="2"/>
        <v>144839.20750969954</v>
      </c>
      <c r="H52" s="24">
        <f>SUM(G41:G52)</f>
        <v>1151472.5367502144</v>
      </c>
      <c r="I52" s="74">
        <v>596000</v>
      </c>
      <c r="J52" s="24">
        <f>H52-I52</f>
        <v>555472.5367502144</v>
      </c>
      <c r="K52" s="24">
        <f>O40</f>
        <v>262686.4667701145</v>
      </c>
      <c r="L52" s="28">
        <f>H52+K52</f>
        <v>1414159.003520329</v>
      </c>
      <c r="M52" s="55">
        <f>L52/I52</f>
        <v>2.3727500059065925</v>
      </c>
      <c r="N52" s="61">
        <f>IF(I52&gt;L52,I52-L52,0)</f>
        <v>0</v>
      </c>
      <c r="O52" s="62">
        <f>IF((L52-I52)&gt;0,L52-I52,0)</f>
        <v>818159.003520329</v>
      </c>
      <c r="P52" s="63"/>
      <c r="Q52" s="63"/>
    </row>
    <row r="53" spans="1:15" ht="15">
      <c r="A53" s="6"/>
      <c r="B53" s="3" t="s">
        <v>12</v>
      </c>
      <c r="C53" s="50">
        <v>1205</v>
      </c>
      <c r="D53" s="46">
        <f>130*C53/1165</f>
        <v>134.46351931330472</v>
      </c>
      <c r="E53" s="65">
        <f>'Model "Case A"'!E53</f>
        <v>15748.1</v>
      </c>
      <c r="F53" s="19">
        <f t="shared" si="3"/>
        <v>1114300.683</v>
      </c>
      <c r="G53" s="20">
        <f t="shared" si="2"/>
        <v>149832.79140939913</v>
      </c>
      <c r="H53" s="25"/>
      <c r="I53" s="75"/>
      <c r="J53" s="25"/>
      <c r="K53" s="25"/>
      <c r="L53" s="77"/>
      <c r="M53" s="25"/>
      <c r="N53" s="60"/>
      <c r="O53" s="59"/>
    </row>
    <row r="54" spans="1:15" ht="15">
      <c r="A54" s="7"/>
      <c r="B54" s="4" t="s">
        <v>13</v>
      </c>
      <c r="C54" s="22"/>
      <c r="D54" s="47">
        <f>133*C53/1165</f>
        <v>137.56652360515022</v>
      </c>
      <c r="E54" s="65">
        <f>'Model "Case A"'!E54</f>
        <v>11555.9</v>
      </c>
      <c r="F54" s="2">
        <f t="shared" si="3"/>
        <v>1125856.5829999999</v>
      </c>
      <c r="G54" s="21">
        <f t="shared" si="2"/>
        <v>154880.17620128323</v>
      </c>
      <c r="H54" s="22"/>
      <c r="I54" s="73"/>
      <c r="J54" s="27"/>
      <c r="K54" s="27"/>
      <c r="L54" s="78"/>
      <c r="M54" s="22"/>
      <c r="N54" s="60"/>
      <c r="O54" s="59"/>
    </row>
    <row r="55" spans="1:15" ht="15">
      <c r="A55" s="7"/>
      <c r="B55" s="4" t="s">
        <v>14</v>
      </c>
      <c r="C55" s="22"/>
      <c r="D55" s="47">
        <f>127*C53/1165</f>
        <v>131.36051502145924</v>
      </c>
      <c r="E55" s="65">
        <f>'Model "Case A"'!E55</f>
        <v>8445.8</v>
      </c>
      <c r="F55" s="2">
        <f t="shared" si="3"/>
        <v>1134302.383</v>
      </c>
      <c r="G55" s="21">
        <f t="shared" si="2"/>
        <v>149002.5452209485</v>
      </c>
      <c r="H55" s="22"/>
      <c r="I55" s="73"/>
      <c r="J55" s="22"/>
      <c r="K55" s="22"/>
      <c r="L55" s="78"/>
      <c r="M55" s="22"/>
      <c r="N55" s="60"/>
      <c r="O55" s="59"/>
    </row>
    <row r="56" spans="1:15" ht="15">
      <c r="A56" s="7"/>
      <c r="B56" s="4" t="s">
        <v>15</v>
      </c>
      <c r="C56" s="22"/>
      <c r="D56" s="47">
        <f>102*C53/1165</f>
        <v>105.50214592274678</v>
      </c>
      <c r="E56" s="65">
        <f>'Model "Case A"'!E56</f>
        <v>8063.4</v>
      </c>
      <c r="F56" s="2">
        <f t="shared" si="3"/>
        <v>1142365.7829999998</v>
      </c>
      <c r="G56" s="21">
        <f t="shared" si="2"/>
        <v>120522.04153521886</v>
      </c>
      <c r="H56" s="22"/>
      <c r="I56" s="73"/>
      <c r="J56" s="22"/>
      <c r="K56" s="22"/>
      <c r="L56" s="78"/>
      <c r="M56" s="22"/>
      <c r="N56" s="60"/>
      <c r="O56" s="59"/>
    </row>
    <row r="57" spans="1:15" ht="15">
      <c r="A57" s="7"/>
      <c r="B57" s="4" t="s">
        <v>16</v>
      </c>
      <c r="C57" s="22"/>
      <c r="D57" s="47">
        <f>88*C53/1165</f>
        <v>91.02145922746782</v>
      </c>
      <c r="E57" s="65">
        <f>'Model "Case A"'!E57</f>
        <v>13100</v>
      </c>
      <c r="F57" s="2">
        <f t="shared" si="3"/>
        <v>1155465.7829999998</v>
      </c>
      <c r="G57" s="21">
        <f t="shared" si="2"/>
        <v>105172.18165606866</v>
      </c>
      <c r="H57" s="22"/>
      <c r="I57" s="73"/>
      <c r="J57" s="22"/>
      <c r="K57" s="22"/>
      <c r="L57" s="78"/>
      <c r="M57" s="22"/>
      <c r="N57" s="60"/>
      <c r="O57" s="59"/>
    </row>
    <row r="58" spans="1:15" ht="15">
      <c r="A58" s="8" t="s">
        <v>21</v>
      </c>
      <c r="B58" s="4" t="s">
        <v>18</v>
      </c>
      <c r="C58" s="22"/>
      <c r="D58" s="47">
        <f>59*C53/1165</f>
        <v>61.02575107296137</v>
      </c>
      <c r="E58" s="65">
        <f>'Model "Case A"'!E58</f>
        <v>12700</v>
      </c>
      <c r="F58" s="2">
        <f t="shared" si="3"/>
        <v>1168165.7829999998</v>
      </c>
      <c r="G58" s="21">
        <f t="shared" si="2"/>
        <v>71288.194285309</v>
      </c>
      <c r="H58" s="22"/>
      <c r="I58" s="73"/>
      <c r="J58" s="22"/>
      <c r="K58" s="22"/>
      <c r="L58" s="78"/>
      <c r="M58" s="22"/>
      <c r="N58" s="60"/>
      <c r="O58" s="59"/>
    </row>
    <row r="59" spans="1:15" ht="15">
      <c r="A59" s="7"/>
      <c r="B59" s="4" t="s">
        <v>19</v>
      </c>
      <c r="C59" s="22"/>
      <c r="D59" s="47">
        <f>46*C53/1165</f>
        <v>47.5793991416309</v>
      </c>
      <c r="E59" s="65">
        <f>'Model "Case A"'!E59</f>
        <v>17000</v>
      </c>
      <c r="F59" s="2">
        <f t="shared" si="3"/>
        <v>1185165.7829999998</v>
      </c>
      <c r="G59" s="21">
        <f t="shared" si="2"/>
        <v>56389.4758383605</v>
      </c>
      <c r="H59" s="22"/>
      <c r="I59" s="73"/>
      <c r="J59" s="22"/>
      <c r="K59" s="22"/>
      <c r="L59" s="78"/>
      <c r="M59" s="22"/>
      <c r="N59" s="60"/>
      <c r="O59" s="59"/>
    </row>
    <row r="60" spans="1:15" ht="15">
      <c r="A60" s="7"/>
      <c r="B60" s="4" t="s">
        <v>7</v>
      </c>
      <c r="C60" s="22"/>
      <c r="D60" s="47">
        <f>59*C53/1165</f>
        <v>61.02575107296137</v>
      </c>
      <c r="E60" s="69">
        <v>17000</v>
      </c>
      <c r="F60" s="2">
        <f t="shared" si="3"/>
        <v>1202165.7829999998</v>
      </c>
      <c r="G60" s="21">
        <f t="shared" si="2"/>
        <v>73363.06982178969</v>
      </c>
      <c r="H60" s="22"/>
      <c r="I60" s="73"/>
      <c r="J60" s="22"/>
      <c r="K60" s="22"/>
      <c r="L60" s="78"/>
      <c r="M60" s="22"/>
      <c r="N60" s="60"/>
      <c r="O60" s="59"/>
    </row>
    <row r="61" spans="1:15" ht="15">
      <c r="A61" s="7"/>
      <c r="B61" s="4" t="s">
        <v>8</v>
      </c>
      <c r="C61" s="22"/>
      <c r="D61" s="47">
        <f>75*C53/1165</f>
        <v>77.57510729613733</v>
      </c>
      <c r="E61" s="69">
        <v>17000</v>
      </c>
      <c r="F61" s="2">
        <f t="shared" si="3"/>
        <v>1219165.7829999998</v>
      </c>
      <c r="G61" s="21">
        <f t="shared" si="2"/>
        <v>94576.91642800426</v>
      </c>
      <c r="H61" s="22"/>
      <c r="I61" s="73"/>
      <c r="J61" s="22"/>
      <c r="K61" s="22"/>
      <c r="L61" s="78"/>
      <c r="M61" s="22"/>
      <c r="N61" s="60"/>
      <c r="O61" s="59"/>
    </row>
    <row r="62" spans="1:15" ht="15">
      <c r="A62" s="7"/>
      <c r="B62" s="4" t="s">
        <v>9</v>
      </c>
      <c r="C62" s="22"/>
      <c r="D62" s="47">
        <f>103*C53/1165</f>
        <v>106.53648068669528</v>
      </c>
      <c r="E62" s="69">
        <v>17000</v>
      </c>
      <c r="F62" s="2">
        <f t="shared" si="3"/>
        <v>1236165.7829999998</v>
      </c>
      <c r="G62" s="21">
        <f t="shared" si="2"/>
        <v>131696.75206613305</v>
      </c>
      <c r="H62" s="22"/>
      <c r="I62" s="73"/>
      <c r="J62" s="22"/>
      <c r="K62" s="22"/>
      <c r="L62" s="78"/>
      <c r="M62" s="22"/>
      <c r="N62" s="60"/>
      <c r="O62" s="59"/>
    </row>
    <row r="63" spans="1:15" ht="15">
      <c r="A63" s="7"/>
      <c r="B63" s="4" t="s">
        <v>10</v>
      </c>
      <c r="C63" s="22"/>
      <c r="D63" s="47">
        <f>115*C53/1165</f>
        <v>118.94849785407726</v>
      </c>
      <c r="E63" s="69">
        <v>17000</v>
      </c>
      <c r="F63" s="2">
        <f t="shared" si="3"/>
        <v>1253165.7829999998</v>
      </c>
      <c r="G63" s="21">
        <f t="shared" si="2"/>
        <v>149062.18744997852</v>
      </c>
      <c r="H63" s="22"/>
      <c r="I63" s="73"/>
      <c r="J63" s="22"/>
      <c r="K63" s="22"/>
      <c r="L63" s="78"/>
      <c r="M63" s="22"/>
      <c r="N63" s="60"/>
      <c r="O63" s="59"/>
    </row>
    <row r="64" spans="1:17" ht="15">
      <c r="A64" s="9"/>
      <c r="B64" s="5" t="s">
        <v>11</v>
      </c>
      <c r="C64" s="49"/>
      <c r="D64" s="48">
        <f>128*C53/1165</f>
        <v>132.39484978540773</v>
      </c>
      <c r="E64" s="69">
        <v>17000</v>
      </c>
      <c r="F64" s="23">
        <f t="shared" si="3"/>
        <v>1270165.7829999998</v>
      </c>
      <c r="G64" s="24">
        <f t="shared" si="2"/>
        <v>168163.40804284977</v>
      </c>
      <c r="H64" s="24">
        <f>SUM(G53:G64)</f>
        <v>1423949.739955343</v>
      </c>
      <c r="I64" s="74">
        <f>D12*1000</f>
        <v>1616500</v>
      </c>
      <c r="J64" s="24">
        <f>H64-I64</f>
        <v>-192550.26004465693</v>
      </c>
      <c r="K64" s="24">
        <f>O52</f>
        <v>818159.003520329</v>
      </c>
      <c r="L64" s="28">
        <f>H64+K64</f>
        <v>2242108.743475672</v>
      </c>
      <c r="M64" s="55">
        <f>L64/I64</f>
        <v>1.3870143788899918</v>
      </c>
      <c r="N64" s="61">
        <f>IF(I64&gt;L64,I64-L64,0)</f>
        <v>0</v>
      </c>
      <c r="O64" s="62">
        <f>IF((L64-I64)&gt;0,L64-I64,0)</f>
        <v>625608.7434756719</v>
      </c>
      <c r="P64" s="63"/>
      <c r="Q64" s="63"/>
    </row>
    <row r="65" spans="1:15" ht="15">
      <c r="A65" s="6"/>
      <c r="B65" s="3" t="s">
        <v>12</v>
      </c>
      <c r="C65" s="50">
        <v>1210</v>
      </c>
      <c r="D65" s="46">
        <f>130*C65/1165</f>
        <v>135.0214592274678</v>
      </c>
      <c r="E65" s="70">
        <v>17000</v>
      </c>
      <c r="F65" s="19">
        <f t="shared" si="3"/>
        <v>1287165.7829999998</v>
      </c>
      <c r="G65" s="20">
        <f t="shared" si="2"/>
        <v>173795.00228832616</v>
      </c>
      <c r="H65" s="25"/>
      <c r="I65" s="75"/>
      <c r="J65" s="25"/>
      <c r="K65" s="25"/>
      <c r="L65" s="77"/>
      <c r="M65" s="25"/>
      <c r="N65" s="60"/>
      <c r="O65" s="59"/>
    </row>
    <row r="66" spans="1:15" ht="15">
      <c r="A66" s="7"/>
      <c r="B66" s="4" t="s">
        <v>13</v>
      </c>
      <c r="C66" s="22"/>
      <c r="D66" s="47">
        <f>133*C65/1165</f>
        <v>138.137339055794</v>
      </c>
      <c r="E66" s="69">
        <f>$E$65</f>
        <v>17000</v>
      </c>
      <c r="F66" s="2">
        <f t="shared" si="3"/>
        <v>1304165.7829999998</v>
      </c>
      <c r="G66" s="21">
        <f t="shared" si="2"/>
        <v>180153.99095123605</v>
      </c>
      <c r="H66" s="22"/>
      <c r="I66" s="73"/>
      <c r="J66" s="22"/>
      <c r="K66" s="22"/>
      <c r="L66" s="78"/>
      <c r="M66" s="22"/>
      <c r="N66" s="60"/>
      <c r="O66" s="59"/>
    </row>
    <row r="67" spans="1:15" ht="15">
      <c r="A67" s="7"/>
      <c r="B67" s="4" t="s">
        <v>14</v>
      </c>
      <c r="C67" s="22"/>
      <c r="D67" s="47">
        <f>127*C65/1165</f>
        <v>131.90557939914163</v>
      </c>
      <c r="E67" s="69">
        <f aca="true" t="shared" si="4" ref="E67:E76">$E$65</f>
        <v>17000</v>
      </c>
      <c r="F67" s="2">
        <f t="shared" si="3"/>
        <v>1321165.7829999998</v>
      </c>
      <c r="G67" s="21">
        <f t="shared" si="2"/>
        <v>174269.13808893558</v>
      </c>
      <c r="H67" s="22"/>
      <c r="I67" s="73"/>
      <c r="J67" s="22"/>
      <c r="K67" s="22"/>
      <c r="L67" s="78"/>
      <c r="M67" s="22"/>
      <c r="N67" s="60"/>
      <c r="O67" s="59"/>
    </row>
    <row r="68" spans="1:15" ht="15">
      <c r="A68" s="7"/>
      <c r="B68" s="4" t="s">
        <v>15</v>
      </c>
      <c r="C68" s="22"/>
      <c r="D68" s="47">
        <f>102*C65/1165</f>
        <v>105.93991416309012</v>
      </c>
      <c r="E68" s="69">
        <f t="shared" si="4"/>
        <v>17000</v>
      </c>
      <c r="F68" s="2">
        <f t="shared" si="3"/>
        <v>1338165.7829999998</v>
      </c>
      <c r="G68" s="21">
        <f t="shared" si="2"/>
        <v>141765.16818700428</v>
      </c>
      <c r="H68" s="22"/>
      <c r="I68" s="73"/>
      <c r="J68" s="22"/>
      <c r="K68" s="22"/>
      <c r="L68" s="78"/>
      <c r="M68" s="22"/>
      <c r="N68" s="60"/>
      <c r="O68" s="59"/>
    </row>
    <row r="69" spans="1:15" ht="15">
      <c r="A69" s="7"/>
      <c r="B69" s="4" t="s">
        <v>16</v>
      </c>
      <c r="C69" s="22"/>
      <c r="D69" s="47">
        <f>88*C65/1165</f>
        <v>91.39914163090128</v>
      </c>
      <c r="E69" s="69">
        <f t="shared" si="4"/>
        <v>17000</v>
      </c>
      <c r="F69" s="2">
        <f t="shared" si="3"/>
        <v>1355165.7829999998</v>
      </c>
      <c r="G69" s="21">
        <f t="shared" si="2"/>
        <v>123860.98933376822</v>
      </c>
      <c r="H69" s="22"/>
      <c r="I69" s="73"/>
      <c r="J69" s="22"/>
      <c r="K69" s="22"/>
      <c r="L69" s="78"/>
      <c r="M69" s="22"/>
      <c r="N69" s="60"/>
      <c r="O69" s="59"/>
    </row>
    <row r="70" spans="1:15" ht="15">
      <c r="A70" s="8" t="s">
        <v>22</v>
      </c>
      <c r="B70" s="4" t="s">
        <v>18</v>
      </c>
      <c r="C70" s="22"/>
      <c r="D70" s="47">
        <f>59*C65/1165</f>
        <v>61.27896995708154</v>
      </c>
      <c r="E70" s="69">
        <f t="shared" si="4"/>
        <v>17000</v>
      </c>
      <c r="F70" s="2">
        <f t="shared" si="3"/>
        <v>1372165.7829999998</v>
      </c>
      <c r="G70" s="21">
        <f t="shared" si="2"/>
        <v>84084.90579259225</v>
      </c>
      <c r="H70" s="22"/>
      <c r="I70" s="73"/>
      <c r="J70" s="22"/>
      <c r="K70" s="22"/>
      <c r="L70" s="78"/>
      <c r="M70" s="22"/>
      <c r="N70" s="60"/>
      <c r="O70" s="59"/>
    </row>
    <row r="71" spans="1:15" ht="15">
      <c r="A71" s="7"/>
      <c r="B71" s="4" t="s">
        <v>19</v>
      </c>
      <c r="C71" s="22"/>
      <c r="D71" s="47">
        <f>46*C65/1165</f>
        <v>47.776824034334766</v>
      </c>
      <c r="E71" s="69">
        <f t="shared" si="4"/>
        <v>17000</v>
      </c>
      <c r="F71" s="2">
        <f t="shared" si="3"/>
        <v>1389165.7829999998</v>
      </c>
      <c r="G71" s="21">
        <f t="shared" si="2"/>
        <v>66369.92916890986</v>
      </c>
      <c r="H71" s="22"/>
      <c r="I71" s="73"/>
      <c r="J71" s="22"/>
      <c r="K71" s="22"/>
      <c r="L71" s="78"/>
      <c r="M71" s="22"/>
      <c r="N71" s="60"/>
      <c r="O71" s="59"/>
    </row>
    <row r="72" spans="1:15" ht="15">
      <c r="A72" s="7"/>
      <c r="B72" s="4" t="s">
        <v>7</v>
      </c>
      <c r="C72" s="22"/>
      <c r="D72" s="47">
        <f>59*C65/1165</f>
        <v>61.27896995708154</v>
      </c>
      <c r="E72" s="69">
        <f t="shared" si="4"/>
        <v>17000</v>
      </c>
      <c r="F72" s="2">
        <f t="shared" si="3"/>
        <v>1406165.7829999998</v>
      </c>
      <c r="G72" s="21">
        <f t="shared" si="2"/>
        <v>86168.39077113304</v>
      </c>
      <c r="H72" s="22"/>
      <c r="I72" s="73"/>
      <c r="J72" s="22"/>
      <c r="K72" s="22"/>
      <c r="L72" s="78"/>
      <c r="M72" s="22"/>
      <c r="N72" s="60"/>
      <c r="O72" s="59"/>
    </row>
    <row r="73" spans="1:15" ht="15">
      <c r="A73" s="7"/>
      <c r="B73" s="4" t="s">
        <v>8</v>
      </c>
      <c r="C73" s="22"/>
      <c r="D73" s="47">
        <f>75*C65/1165</f>
        <v>77.8969957081545</v>
      </c>
      <c r="E73" s="69">
        <f t="shared" si="4"/>
        <v>17000</v>
      </c>
      <c r="F73" s="2">
        <f t="shared" si="3"/>
        <v>1423165.7829999998</v>
      </c>
      <c r="G73" s="21">
        <f t="shared" si="2"/>
        <v>110860.33889034334</v>
      </c>
      <c r="H73" s="22"/>
      <c r="I73" s="73"/>
      <c r="J73" s="22"/>
      <c r="K73" s="22"/>
      <c r="L73" s="78"/>
      <c r="M73" s="22"/>
      <c r="N73" s="60"/>
      <c r="O73" s="59"/>
    </row>
    <row r="74" spans="1:15" ht="15">
      <c r="A74" s="7"/>
      <c r="B74" s="4" t="s">
        <v>9</v>
      </c>
      <c r="C74" s="22"/>
      <c r="D74" s="47">
        <f>103*C65/1165</f>
        <v>106.97854077253218</v>
      </c>
      <c r="E74" s="69">
        <f t="shared" si="4"/>
        <v>17000</v>
      </c>
      <c r="F74" s="2">
        <f t="shared" si="3"/>
        <v>1440165.7829999998</v>
      </c>
      <c r="G74" s="21">
        <f t="shared" si="2"/>
        <v>154066.83393587123</v>
      </c>
      <c r="H74" s="22"/>
      <c r="I74" s="73"/>
      <c r="J74" s="22"/>
      <c r="K74" s="22"/>
      <c r="L74" s="78"/>
      <c r="M74" s="22"/>
      <c r="N74" s="60"/>
      <c r="O74" s="59"/>
    </row>
    <row r="75" spans="1:15" ht="15">
      <c r="A75" s="7"/>
      <c r="B75" s="4" t="s">
        <v>10</v>
      </c>
      <c r="C75" s="22"/>
      <c r="D75" s="47">
        <f>115*C65/1165</f>
        <v>119.44206008583691</v>
      </c>
      <c r="E75" s="69">
        <f t="shared" si="4"/>
        <v>17000</v>
      </c>
      <c r="F75" s="2">
        <f t="shared" si="3"/>
        <v>1457165.7829999998</v>
      </c>
      <c r="G75" s="21">
        <f t="shared" si="2"/>
        <v>174046.88300811156</v>
      </c>
      <c r="H75" s="22"/>
      <c r="I75" s="73"/>
      <c r="J75" s="22"/>
      <c r="K75" s="22"/>
      <c r="L75" s="78"/>
      <c r="M75" s="22"/>
      <c r="N75" s="60"/>
      <c r="O75" s="59"/>
    </row>
    <row r="76" spans="1:17" ht="15">
      <c r="A76" s="9"/>
      <c r="B76" s="5" t="s">
        <v>11</v>
      </c>
      <c r="C76" s="49"/>
      <c r="D76" s="48">
        <f>128*C65/1165</f>
        <v>132.94420600858368</v>
      </c>
      <c r="E76" s="69">
        <f t="shared" si="4"/>
        <v>17000</v>
      </c>
      <c r="F76" s="23">
        <f t="shared" si="3"/>
        <v>1474165.7829999998</v>
      </c>
      <c r="G76" s="24">
        <f t="shared" si="2"/>
        <v>195981.79954595704</v>
      </c>
      <c r="H76" s="24">
        <f>SUM(G65:G76)</f>
        <v>1665423.3699621886</v>
      </c>
      <c r="I76" s="74">
        <f>D13*1000</f>
        <v>1955900</v>
      </c>
      <c r="J76" s="24">
        <f>H76-I76</f>
        <v>-290476.63003781135</v>
      </c>
      <c r="K76" s="24">
        <f>O64</f>
        <v>625608.7434756719</v>
      </c>
      <c r="L76" s="28">
        <f>H76+K76</f>
        <v>2291032.1134378603</v>
      </c>
      <c r="M76" s="55">
        <f>L76/I76</f>
        <v>1.171344196246158</v>
      </c>
      <c r="N76" s="61">
        <f>IF(I76&gt;L76,I76-L76,0)</f>
        <v>0</v>
      </c>
      <c r="O76" s="62">
        <f>IF((L76-I76)&gt;0,L76-I76,0)</f>
        <v>335132.1134378603</v>
      </c>
      <c r="P76" s="63"/>
      <c r="Q76" s="63"/>
    </row>
    <row r="77" spans="1:15" ht="15">
      <c r="A77" s="6"/>
      <c r="B77" s="3" t="s">
        <v>12</v>
      </c>
      <c r="C77" s="50">
        <v>1215</v>
      </c>
      <c r="D77" s="46">
        <f>130*C77/1165</f>
        <v>135.57939914163092</v>
      </c>
      <c r="E77" s="70">
        <v>17000</v>
      </c>
      <c r="F77" s="19">
        <f t="shared" si="3"/>
        <v>1491165.7829999998</v>
      </c>
      <c r="G77" s="20">
        <f t="shared" si="2"/>
        <v>202171.36087969955</v>
      </c>
      <c r="H77" s="25"/>
      <c r="I77" s="75"/>
      <c r="J77" s="25"/>
      <c r="K77" s="25"/>
      <c r="L77" s="77"/>
      <c r="M77" s="25"/>
      <c r="N77" s="60"/>
      <c r="O77" s="59"/>
    </row>
    <row r="78" spans="1:15" ht="15">
      <c r="A78" s="7"/>
      <c r="B78" s="4" t="s">
        <v>13</v>
      </c>
      <c r="C78" s="22"/>
      <c r="D78" s="47">
        <f>133*C77/1165</f>
        <v>138.70815450643778</v>
      </c>
      <c r="E78" s="69">
        <f>$E$77</f>
        <v>17000</v>
      </c>
      <c r="F78" s="2">
        <f t="shared" si="3"/>
        <v>1508165.7829999998</v>
      </c>
      <c r="G78" s="21">
        <f t="shared" si="2"/>
        <v>209194.89244968668</v>
      </c>
      <c r="H78" s="22"/>
      <c r="I78" s="73"/>
      <c r="J78" s="22"/>
      <c r="K78" s="22"/>
      <c r="L78" s="78"/>
      <c r="M78" s="22"/>
      <c r="N78" s="60"/>
      <c r="O78" s="59"/>
    </row>
    <row r="79" spans="1:15" ht="15">
      <c r="A79" s="7"/>
      <c r="B79" s="4" t="s">
        <v>14</v>
      </c>
      <c r="C79" s="22"/>
      <c r="D79" s="47">
        <f>127*C77/1165</f>
        <v>132.45064377682402</v>
      </c>
      <c r="E79" s="69">
        <f aca="true" t="shared" si="5" ref="E79:E88">$E$77</f>
        <v>17000</v>
      </c>
      <c r="F79" s="2">
        <f t="shared" si="3"/>
        <v>1525165.7829999998</v>
      </c>
      <c r="G79" s="21">
        <f t="shared" si="2"/>
        <v>202009.18982473385</v>
      </c>
      <c r="H79" s="22"/>
      <c r="I79" s="73"/>
      <c r="J79" s="22"/>
      <c r="K79" s="22"/>
      <c r="L79" s="78"/>
      <c r="M79" s="22"/>
      <c r="N79" s="60"/>
      <c r="O79" s="59"/>
    </row>
    <row r="80" spans="1:15" ht="15">
      <c r="A80" s="7"/>
      <c r="B80" s="4" t="s">
        <v>15</v>
      </c>
      <c r="C80" s="22"/>
      <c r="D80" s="47">
        <f>102*C77/1165</f>
        <v>106.37768240343348</v>
      </c>
      <c r="E80" s="69">
        <f t="shared" si="5"/>
        <v>17000</v>
      </c>
      <c r="F80" s="2">
        <f t="shared" si="3"/>
        <v>1542165.7829999998</v>
      </c>
      <c r="G80" s="21">
        <f t="shared" si="2"/>
        <v>164052.02187741632</v>
      </c>
      <c r="H80" s="22"/>
      <c r="I80" s="73"/>
      <c r="J80" s="22"/>
      <c r="K80" s="22"/>
      <c r="L80" s="78"/>
      <c r="M80" s="22"/>
      <c r="N80" s="60"/>
      <c r="O80" s="59"/>
    </row>
    <row r="81" spans="1:15" ht="15">
      <c r="A81" s="7"/>
      <c r="B81" s="4" t="s">
        <v>16</v>
      </c>
      <c r="C81" s="22"/>
      <c r="D81" s="47">
        <f>88*C77/1165</f>
        <v>91.77682403433477</v>
      </c>
      <c r="E81" s="69">
        <f t="shared" si="5"/>
        <v>17000</v>
      </c>
      <c r="F81" s="2">
        <f t="shared" si="3"/>
        <v>1559165.7829999998</v>
      </c>
      <c r="G81" s="21">
        <f t="shared" si="2"/>
        <v>143095.28370674676</v>
      </c>
      <c r="H81" s="22"/>
      <c r="I81" s="73"/>
      <c r="J81" s="22"/>
      <c r="K81" s="22"/>
      <c r="L81" s="78"/>
      <c r="M81" s="22"/>
      <c r="N81" s="60"/>
      <c r="O81" s="59"/>
    </row>
    <row r="82" spans="1:15" ht="15">
      <c r="A82" s="8" t="s">
        <v>23</v>
      </c>
      <c r="B82" s="4" t="s">
        <v>18</v>
      </c>
      <c r="C82" s="22"/>
      <c r="D82" s="47">
        <f>59*C77/1165</f>
        <v>61.532188841201716</v>
      </c>
      <c r="E82" s="69">
        <f t="shared" si="5"/>
        <v>17000</v>
      </c>
      <c r="F82" s="2">
        <f t="shared" si="3"/>
        <v>1576165.7829999998</v>
      </c>
      <c r="G82" s="21">
        <f t="shared" si="2"/>
        <v>96984.93060459655</v>
      </c>
      <c r="H82" s="22"/>
      <c r="I82" s="73"/>
      <c r="J82" s="22"/>
      <c r="K82" s="22"/>
      <c r="L82" s="78"/>
      <c r="M82" s="22"/>
      <c r="N82" s="60"/>
      <c r="O82" s="59"/>
    </row>
    <row r="83" spans="1:15" ht="15">
      <c r="A83" s="7"/>
      <c r="B83" s="4" t="s">
        <v>19</v>
      </c>
      <c r="C83" s="22"/>
      <c r="D83" s="47">
        <f>46*C77/1165</f>
        <v>47.97424892703863</v>
      </c>
      <c r="E83" s="69">
        <f t="shared" si="5"/>
        <v>17000</v>
      </c>
      <c r="F83" s="2">
        <f t="shared" si="3"/>
        <v>1593165.7829999998</v>
      </c>
      <c r="G83" s="21">
        <f t="shared" si="2"/>
        <v>76430.9318556824</v>
      </c>
      <c r="H83" s="22"/>
      <c r="I83" s="73"/>
      <c r="J83" s="22"/>
      <c r="K83" s="22"/>
      <c r="L83" s="78"/>
      <c r="M83" s="22"/>
      <c r="N83" s="60"/>
      <c r="O83" s="59"/>
    </row>
    <row r="84" spans="1:15" ht="15">
      <c r="A84" s="7"/>
      <c r="B84" s="4" t="s">
        <v>7</v>
      </c>
      <c r="C84" s="22"/>
      <c r="D84" s="47">
        <f>59*C77/1165</f>
        <v>61.532188841201716</v>
      </c>
      <c r="E84" s="69">
        <f t="shared" si="5"/>
        <v>17000</v>
      </c>
      <c r="F84" s="2">
        <f t="shared" si="3"/>
        <v>1610165.7829999998</v>
      </c>
      <c r="G84" s="21">
        <f t="shared" si="2"/>
        <v>99077.02502519742</v>
      </c>
      <c r="H84" s="22"/>
      <c r="I84" s="73"/>
      <c r="J84" s="22"/>
      <c r="K84" s="22"/>
      <c r="L84" s="78"/>
      <c r="M84" s="22"/>
      <c r="N84" s="60"/>
      <c r="O84" s="59"/>
    </row>
    <row r="85" spans="1:15" ht="15">
      <c r="A85" s="7"/>
      <c r="B85" s="4" t="s">
        <v>8</v>
      </c>
      <c r="C85" s="22"/>
      <c r="D85" s="47">
        <f>75*C77/1165</f>
        <v>78.21888412017168</v>
      </c>
      <c r="E85" s="69">
        <f t="shared" si="5"/>
        <v>17000</v>
      </c>
      <c r="F85" s="2">
        <f t="shared" si="3"/>
        <v>1627165.7829999998</v>
      </c>
      <c r="G85" s="21">
        <f t="shared" si="2"/>
        <v>127275.0918247854</v>
      </c>
      <c r="H85" s="22"/>
      <c r="I85" s="73"/>
      <c r="J85" s="22"/>
      <c r="K85" s="22"/>
      <c r="L85" s="78"/>
      <c r="M85" s="22"/>
      <c r="N85" s="60"/>
      <c r="O85" s="59"/>
    </row>
    <row r="86" spans="1:15" ht="15">
      <c r="A86" s="7"/>
      <c r="B86" s="4" t="s">
        <v>9</v>
      </c>
      <c r="C86" s="22"/>
      <c r="D86" s="47">
        <f>103*C77/1165</f>
        <v>107.4206008583691</v>
      </c>
      <c r="E86" s="69">
        <f t="shared" si="5"/>
        <v>17000</v>
      </c>
      <c r="F86" s="2">
        <f t="shared" si="3"/>
        <v>1644165.7829999998</v>
      </c>
      <c r="G86" s="21">
        <f t="shared" si="2"/>
        <v>176617.2763206309</v>
      </c>
      <c r="H86" s="22"/>
      <c r="I86" s="73"/>
      <c r="J86" s="22"/>
      <c r="K86" s="22"/>
      <c r="L86" s="78"/>
      <c r="M86" s="22"/>
      <c r="N86" s="60"/>
      <c r="O86" s="59"/>
    </row>
    <row r="87" spans="1:15" ht="15">
      <c r="A87" s="7"/>
      <c r="B87" s="4" t="s">
        <v>10</v>
      </c>
      <c r="C87" s="22"/>
      <c r="D87" s="47">
        <f>115*C77/1165</f>
        <v>119.93562231759657</v>
      </c>
      <c r="E87" s="69">
        <f t="shared" si="5"/>
        <v>17000</v>
      </c>
      <c r="F87" s="2">
        <f t="shared" si="3"/>
        <v>1661165.7829999998</v>
      </c>
      <c r="G87" s="21">
        <f t="shared" si="2"/>
        <v>199232.95195680254</v>
      </c>
      <c r="H87" s="22"/>
      <c r="I87" s="73"/>
      <c r="J87" s="22"/>
      <c r="K87" s="22"/>
      <c r="L87" s="78"/>
      <c r="M87" s="22"/>
      <c r="N87" s="60"/>
      <c r="O87" s="59"/>
    </row>
    <row r="88" spans="1:17" ht="15">
      <c r="A88" s="9"/>
      <c r="B88" s="5" t="s">
        <v>11</v>
      </c>
      <c r="C88" s="49"/>
      <c r="D88" s="48">
        <f>128*C77/1165</f>
        <v>133.49356223175965</v>
      </c>
      <c r="E88" s="69">
        <f t="shared" si="5"/>
        <v>17000</v>
      </c>
      <c r="F88" s="23">
        <f t="shared" si="3"/>
        <v>1678165.7829999998</v>
      </c>
      <c r="G88" s="24">
        <f t="shared" si="2"/>
        <v>224024.32838812014</v>
      </c>
      <c r="H88" s="24">
        <f>SUM(G77:G88)</f>
        <v>1920165.2847140983</v>
      </c>
      <c r="I88" s="74">
        <f>D14*1000</f>
        <v>2222600</v>
      </c>
      <c r="J88" s="24">
        <f>H88-I88</f>
        <v>-302434.7152859017</v>
      </c>
      <c r="K88" s="24">
        <f>O76</f>
        <v>335132.1134378603</v>
      </c>
      <c r="L88" s="28">
        <f>H88+K88</f>
        <v>2255297.3981519584</v>
      </c>
      <c r="M88" s="55">
        <f>L88/I88</f>
        <v>1.01471132824258</v>
      </c>
      <c r="N88" s="61">
        <f>IF(I88&gt;L88,I88-L88,0)</f>
        <v>0</v>
      </c>
      <c r="O88" s="62">
        <f>IF((L88-I88)&gt;0,L88-I88,0)</f>
        <v>32697.39815195836</v>
      </c>
      <c r="P88" s="63"/>
      <c r="Q88" s="63"/>
    </row>
    <row r="89" spans="1:15" ht="15">
      <c r="A89" s="6"/>
      <c r="B89" s="3" t="s">
        <v>12</v>
      </c>
      <c r="C89" s="50">
        <v>1215</v>
      </c>
      <c r="D89" s="46">
        <f>130*C89/1165</f>
        <v>135.57939914163092</v>
      </c>
      <c r="E89" s="70">
        <v>20000</v>
      </c>
      <c r="F89" s="19">
        <f t="shared" si="3"/>
        <v>1698165.7829999998</v>
      </c>
      <c r="G89" s="20">
        <f t="shared" si="2"/>
        <v>230236.29650201718</v>
      </c>
      <c r="H89" s="25"/>
      <c r="I89" s="75"/>
      <c r="J89" s="25"/>
      <c r="K89" s="25"/>
      <c r="L89" s="77"/>
      <c r="M89" s="25"/>
      <c r="N89" s="60"/>
      <c r="O89" s="59"/>
    </row>
    <row r="90" spans="1:15" ht="15">
      <c r="A90" s="7"/>
      <c r="B90" s="4" t="s">
        <v>13</v>
      </c>
      <c r="C90" s="22"/>
      <c r="D90" s="47">
        <f>133*C89/1165</f>
        <v>138.70815450643778</v>
      </c>
      <c r="E90" s="69">
        <f>$E$89</f>
        <v>20000</v>
      </c>
      <c r="F90" s="2">
        <f t="shared" si="3"/>
        <v>1718165.7829999998</v>
      </c>
      <c r="G90" s="21">
        <f t="shared" si="2"/>
        <v>238323.60489603863</v>
      </c>
      <c r="H90" s="22"/>
      <c r="I90" s="73"/>
      <c r="J90" s="22"/>
      <c r="K90" s="22"/>
      <c r="L90" s="78"/>
      <c r="M90" s="22"/>
      <c r="N90" s="60"/>
      <c r="O90" s="59"/>
    </row>
    <row r="91" spans="1:15" ht="15">
      <c r="A91" s="7"/>
      <c r="B91" s="4" t="s">
        <v>14</v>
      </c>
      <c r="C91" s="22"/>
      <c r="D91" s="47">
        <f>127*C89/1165</f>
        <v>132.45064377682402</v>
      </c>
      <c r="E91" s="69">
        <f aca="true" t="shared" si="6" ref="E91:E100">$E$89</f>
        <v>20000</v>
      </c>
      <c r="F91" s="2">
        <f t="shared" si="3"/>
        <v>1738165.7829999998</v>
      </c>
      <c r="G91" s="21">
        <f t="shared" si="2"/>
        <v>230221.17694919737</v>
      </c>
      <c r="H91" s="22"/>
      <c r="I91" s="73"/>
      <c r="J91" s="22"/>
      <c r="K91" s="22"/>
      <c r="L91" s="78"/>
      <c r="M91" s="22"/>
      <c r="N91" s="60"/>
      <c r="O91" s="59"/>
    </row>
    <row r="92" spans="1:15" ht="15">
      <c r="A92" s="7"/>
      <c r="B92" s="4" t="s">
        <v>15</v>
      </c>
      <c r="C92" s="22"/>
      <c r="D92" s="47">
        <f>102*C89/1165</f>
        <v>106.37768240343348</v>
      </c>
      <c r="E92" s="69">
        <f t="shared" si="6"/>
        <v>20000</v>
      </c>
      <c r="F92" s="2">
        <f t="shared" si="3"/>
        <v>1758165.7829999998</v>
      </c>
      <c r="G92" s="21">
        <f t="shared" si="2"/>
        <v>187029.60127655792</v>
      </c>
      <c r="H92" s="22"/>
      <c r="I92" s="73"/>
      <c r="J92" s="22"/>
      <c r="K92" s="22"/>
      <c r="L92" s="78"/>
      <c r="M92" s="22"/>
      <c r="N92" s="60"/>
      <c r="O92" s="59"/>
    </row>
    <row r="93" spans="1:15" ht="15">
      <c r="A93" s="7"/>
      <c r="B93" s="4" t="s">
        <v>16</v>
      </c>
      <c r="C93" s="22"/>
      <c r="D93" s="47">
        <f>88*C89/1165</f>
        <v>91.77682403433477</v>
      </c>
      <c r="E93" s="69">
        <f t="shared" si="6"/>
        <v>20000</v>
      </c>
      <c r="F93" s="2">
        <f t="shared" si="3"/>
        <v>1778165.7829999998</v>
      </c>
      <c r="G93" s="21">
        <f aca="true" t="shared" si="7" ref="G93:G156">D93*F93/1000</f>
        <v>163194.4081702661</v>
      </c>
      <c r="H93" s="22"/>
      <c r="I93" s="73"/>
      <c r="J93" s="22"/>
      <c r="K93" s="22"/>
      <c r="L93" s="78"/>
      <c r="M93" s="22"/>
      <c r="N93" s="60"/>
      <c r="O93" s="59"/>
    </row>
    <row r="94" spans="1:15" ht="15">
      <c r="A94" s="8" t="s">
        <v>24</v>
      </c>
      <c r="B94" s="4" t="s">
        <v>18</v>
      </c>
      <c r="C94" s="22"/>
      <c r="D94" s="47">
        <f>59*C89/1165</f>
        <v>61.532188841201716</v>
      </c>
      <c r="E94" s="69">
        <f t="shared" si="6"/>
        <v>20000</v>
      </c>
      <c r="F94" s="2">
        <f aca="true" t="shared" si="8" ref="F94:F157">F93+E94</f>
        <v>1798165.7829999998</v>
      </c>
      <c r="G94" s="21">
        <f t="shared" si="7"/>
        <v>110645.07652734334</v>
      </c>
      <c r="H94" s="22"/>
      <c r="I94" s="73"/>
      <c r="J94" s="22"/>
      <c r="K94" s="22"/>
      <c r="L94" s="78"/>
      <c r="M94" s="22"/>
      <c r="N94" s="60"/>
      <c r="O94" s="59"/>
    </row>
    <row r="95" spans="1:15" ht="15">
      <c r="A95" s="7"/>
      <c r="B95" s="4" t="s">
        <v>19</v>
      </c>
      <c r="C95" s="22"/>
      <c r="D95" s="47">
        <f>46*C89/1165</f>
        <v>47.97424892703863</v>
      </c>
      <c r="E95" s="69">
        <f t="shared" si="6"/>
        <v>20000</v>
      </c>
      <c r="F95" s="2">
        <f t="shared" si="8"/>
        <v>1818165.7829999998</v>
      </c>
      <c r="G95" s="21">
        <f t="shared" si="7"/>
        <v>87225.1378642661</v>
      </c>
      <c r="H95" s="22"/>
      <c r="I95" s="73"/>
      <c r="J95" s="22"/>
      <c r="K95" s="22"/>
      <c r="L95" s="78"/>
      <c r="M95" s="22"/>
      <c r="N95" s="60"/>
      <c r="O95" s="59"/>
    </row>
    <row r="96" spans="1:15" ht="15">
      <c r="A96" s="7"/>
      <c r="B96" s="4" t="s">
        <v>7</v>
      </c>
      <c r="C96" s="22"/>
      <c r="D96" s="47">
        <f>59*C89/1165</f>
        <v>61.532188841201716</v>
      </c>
      <c r="E96" s="69">
        <f t="shared" si="6"/>
        <v>20000</v>
      </c>
      <c r="F96" s="2">
        <f t="shared" si="8"/>
        <v>1838165.7829999998</v>
      </c>
      <c r="G96" s="21">
        <f t="shared" si="7"/>
        <v>113106.3640809914</v>
      </c>
      <c r="H96" s="22"/>
      <c r="I96" s="73"/>
      <c r="J96" s="22"/>
      <c r="K96" s="22"/>
      <c r="L96" s="78"/>
      <c r="M96" s="22"/>
      <c r="N96" s="60"/>
      <c r="O96" s="59"/>
    </row>
    <row r="97" spans="1:15" ht="15">
      <c r="A97" s="7"/>
      <c r="B97" s="4" t="s">
        <v>8</v>
      </c>
      <c r="C97" s="22"/>
      <c r="D97" s="47">
        <f>75*C89/1165</f>
        <v>78.21888412017168</v>
      </c>
      <c r="E97" s="69">
        <f t="shared" si="6"/>
        <v>20000</v>
      </c>
      <c r="F97" s="2">
        <f t="shared" si="8"/>
        <v>1858165.7829999998</v>
      </c>
      <c r="G97" s="21">
        <f t="shared" si="7"/>
        <v>145343.65405654506</v>
      </c>
      <c r="H97" s="22"/>
      <c r="I97" s="73"/>
      <c r="J97" s="22"/>
      <c r="K97" s="22"/>
      <c r="L97" s="78"/>
      <c r="M97" s="22"/>
      <c r="N97" s="60"/>
      <c r="O97" s="59"/>
    </row>
    <row r="98" spans="1:15" ht="15">
      <c r="A98" s="7"/>
      <c r="B98" s="4" t="s">
        <v>9</v>
      </c>
      <c r="C98" s="22"/>
      <c r="D98" s="47">
        <f>103*C89/1165</f>
        <v>107.4206008583691</v>
      </c>
      <c r="E98" s="69">
        <f t="shared" si="6"/>
        <v>20000</v>
      </c>
      <c r="F98" s="2">
        <f t="shared" si="8"/>
        <v>1878165.7829999998</v>
      </c>
      <c r="G98" s="21">
        <f t="shared" si="7"/>
        <v>201753.69692148923</v>
      </c>
      <c r="H98" s="22"/>
      <c r="I98" s="73"/>
      <c r="J98" s="22"/>
      <c r="K98" s="22"/>
      <c r="L98" s="78"/>
      <c r="M98" s="22"/>
      <c r="N98" s="60"/>
      <c r="O98" s="59"/>
    </row>
    <row r="99" spans="1:15" ht="15">
      <c r="A99" s="7"/>
      <c r="B99" s="4" t="s">
        <v>10</v>
      </c>
      <c r="C99" s="22"/>
      <c r="D99" s="47">
        <f>115*C89/1165</f>
        <v>119.93562231759657</v>
      </c>
      <c r="E99" s="69">
        <f t="shared" si="6"/>
        <v>20000</v>
      </c>
      <c r="F99" s="2">
        <f t="shared" si="8"/>
        <v>1898165.7829999998</v>
      </c>
      <c r="G99" s="21">
        <f t="shared" si="7"/>
        <v>227657.69444607294</v>
      </c>
      <c r="H99" s="22"/>
      <c r="I99" s="73"/>
      <c r="J99" s="22"/>
      <c r="K99" s="22"/>
      <c r="L99" s="78"/>
      <c r="M99" s="22"/>
      <c r="N99" s="60"/>
      <c r="O99" s="59"/>
    </row>
    <row r="100" spans="1:17" ht="15">
      <c r="A100" s="9"/>
      <c r="B100" s="5" t="s">
        <v>11</v>
      </c>
      <c r="C100" s="49"/>
      <c r="D100" s="48">
        <f>128*C89/1165</f>
        <v>133.49356223175965</v>
      </c>
      <c r="E100" s="69">
        <f t="shared" si="6"/>
        <v>20000</v>
      </c>
      <c r="F100" s="23">
        <f t="shared" si="8"/>
        <v>1918165.7829999998</v>
      </c>
      <c r="G100" s="24">
        <f t="shared" si="7"/>
        <v>256062.78332374245</v>
      </c>
      <c r="H100" s="24">
        <f>SUM(G89:G100)</f>
        <v>2190799.495014528</v>
      </c>
      <c r="I100" s="74">
        <f>D15*1000</f>
        <v>2454700</v>
      </c>
      <c r="J100" s="24">
        <f>H100-I100</f>
        <v>-263900.5049854722</v>
      </c>
      <c r="K100" s="24">
        <f>O88</f>
        <v>32697.39815195836</v>
      </c>
      <c r="L100" s="28">
        <f>H100+K100</f>
        <v>2223496.893166486</v>
      </c>
      <c r="M100" s="55">
        <f>L100/I100</f>
        <v>0.9058120720114418</v>
      </c>
      <c r="N100" s="61">
        <f>IF(I100&gt;L100,I100-L100,0)</f>
        <v>231203.10683351383</v>
      </c>
      <c r="O100" s="62">
        <f>IF((L100-I100)&gt;0,L100-I100,0)</f>
        <v>0</v>
      </c>
      <c r="P100" s="63"/>
      <c r="Q100" s="63"/>
    </row>
    <row r="101" spans="1:15" ht="15">
      <c r="A101" s="6"/>
      <c r="B101" s="3" t="s">
        <v>12</v>
      </c>
      <c r="C101" s="50">
        <v>1215</v>
      </c>
      <c r="D101" s="46">
        <f>130*C101/1165</f>
        <v>135.57939914163092</v>
      </c>
      <c r="E101" s="70">
        <v>17000</v>
      </c>
      <c r="F101" s="19">
        <f t="shared" si="8"/>
        <v>1935165.7829999998</v>
      </c>
      <c r="G101" s="20">
        <f t="shared" si="7"/>
        <v>262368.6140985837</v>
      </c>
      <c r="H101" s="25"/>
      <c r="I101" s="75"/>
      <c r="J101" s="25"/>
      <c r="K101" s="25"/>
      <c r="L101" s="77"/>
      <c r="M101" s="25"/>
      <c r="N101" s="60"/>
      <c r="O101" s="59"/>
    </row>
    <row r="102" spans="1:15" ht="15">
      <c r="A102" s="7"/>
      <c r="B102" s="4" t="s">
        <v>13</v>
      </c>
      <c r="C102" s="22"/>
      <c r="D102" s="47">
        <f>133*C101/1165</f>
        <v>138.70815450643778</v>
      </c>
      <c r="E102" s="69">
        <f>$E$101</f>
        <v>17000</v>
      </c>
      <c r="F102" s="2">
        <f t="shared" si="8"/>
        <v>1952165.7829999998</v>
      </c>
      <c r="G102" s="21">
        <f t="shared" si="7"/>
        <v>270781.31305054505</v>
      </c>
      <c r="H102" s="22"/>
      <c r="I102" s="73"/>
      <c r="J102" s="22"/>
      <c r="K102" s="22"/>
      <c r="L102" s="78"/>
      <c r="M102" s="22"/>
      <c r="N102" s="60"/>
      <c r="O102" s="59"/>
    </row>
    <row r="103" spans="1:15" ht="15">
      <c r="A103" s="7"/>
      <c r="B103" s="4" t="s">
        <v>14</v>
      </c>
      <c r="C103" s="22"/>
      <c r="D103" s="47">
        <f>127*C101/1165</f>
        <v>132.45064377682402</v>
      </c>
      <c r="E103" s="69">
        <f aca="true" t="shared" si="9" ref="E103:E112">$E$101</f>
        <v>17000</v>
      </c>
      <c r="F103" s="2">
        <f t="shared" si="8"/>
        <v>1969165.7829999998</v>
      </c>
      <c r="G103" s="21">
        <f t="shared" si="7"/>
        <v>260817.27566164374</v>
      </c>
      <c r="H103" s="22"/>
      <c r="I103" s="73"/>
      <c r="J103" s="22"/>
      <c r="K103" s="22"/>
      <c r="L103" s="78"/>
      <c r="M103" s="22"/>
      <c r="N103" s="60"/>
      <c r="O103" s="59"/>
    </row>
    <row r="104" spans="1:15" ht="15">
      <c r="A104" s="7"/>
      <c r="B104" s="4" t="s">
        <v>15</v>
      </c>
      <c r="C104" s="22"/>
      <c r="D104" s="47">
        <f>102*C101/1165</f>
        <v>106.37768240343348</v>
      </c>
      <c r="E104" s="69">
        <f t="shared" si="9"/>
        <v>17000</v>
      </c>
      <c r="F104" s="2">
        <f t="shared" si="8"/>
        <v>1986165.7829999998</v>
      </c>
      <c r="G104" s="21">
        <f t="shared" si="7"/>
        <v>211283.71286454075</v>
      </c>
      <c r="H104" s="22"/>
      <c r="I104" s="73"/>
      <c r="J104" s="22"/>
      <c r="K104" s="22"/>
      <c r="L104" s="78"/>
      <c r="M104" s="22"/>
      <c r="N104" s="60"/>
      <c r="O104" s="59"/>
    </row>
    <row r="105" spans="1:15" ht="15">
      <c r="A105" s="7"/>
      <c r="B105" s="4" t="s">
        <v>16</v>
      </c>
      <c r="C105" s="22"/>
      <c r="D105" s="47">
        <f>88*C101/1165</f>
        <v>91.77682403433477</v>
      </c>
      <c r="E105" s="69">
        <f t="shared" si="9"/>
        <v>17000</v>
      </c>
      <c r="F105" s="2">
        <f t="shared" si="8"/>
        <v>2003165.7829999998</v>
      </c>
      <c r="G105" s="21">
        <f t="shared" si="7"/>
        <v>183844.1935779914</v>
      </c>
      <c r="H105" s="22"/>
      <c r="I105" s="73"/>
      <c r="J105" s="22"/>
      <c r="K105" s="22"/>
      <c r="L105" s="78"/>
      <c r="M105" s="22"/>
      <c r="N105" s="60"/>
      <c r="O105" s="59"/>
    </row>
    <row r="106" spans="1:15" ht="15">
      <c r="A106" s="8" t="s">
        <v>25</v>
      </c>
      <c r="B106" s="4" t="s">
        <v>18</v>
      </c>
      <c r="C106" s="22"/>
      <c r="D106" s="47">
        <f>59*C101/1165</f>
        <v>61.532188841201716</v>
      </c>
      <c r="E106" s="69">
        <f t="shared" si="9"/>
        <v>17000</v>
      </c>
      <c r="F106" s="2">
        <f t="shared" si="8"/>
        <v>2020165.7829999998</v>
      </c>
      <c r="G106" s="21">
        <f t="shared" si="7"/>
        <v>124305.2224500901</v>
      </c>
      <c r="H106" s="22"/>
      <c r="I106" s="73"/>
      <c r="J106" s="22"/>
      <c r="K106" s="22"/>
      <c r="L106" s="78"/>
      <c r="M106" s="22"/>
      <c r="N106" s="60"/>
      <c r="O106" s="59"/>
    </row>
    <row r="107" spans="1:15" ht="15">
      <c r="A107" s="7"/>
      <c r="B107" s="4" t="s">
        <v>19</v>
      </c>
      <c r="C107" s="22"/>
      <c r="D107" s="47">
        <f>46*C101/1165</f>
        <v>47.97424892703863</v>
      </c>
      <c r="E107" s="69">
        <f t="shared" si="9"/>
        <v>17000</v>
      </c>
      <c r="F107" s="2">
        <f t="shared" si="8"/>
        <v>2037165.7829999998</v>
      </c>
      <c r="G107" s="21">
        <f t="shared" si="7"/>
        <v>97731.49837928756</v>
      </c>
      <c r="H107" s="22"/>
      <c r="I107" s="73"/>
      <c r="J107" s="22"/>
      <c r="K107" s="22"/>
      <c r="L107" s="78"/>
      <c r="M107" s="22"/>
      <c r="N107" s="60"/>
      <c r="O107" s="59"/>
    </row>
    <row r="108" spans="1:15" ht="15">
      <c r="A108" s="7"/>
      <c r="B108" s="4" t="s">
        <v>7</v>
      </c>
      <c r="C108" s="22"/>
      <c r="D108" s="47">
        <f>59*C101/1165</f>
        <v>61.532188841201716</v>
      </c>
      <c r="E108" s="69">
        <f t="shared" si="9"/>
        <v>17000</v>
      </c>
      <c r="F108" s="2">
        <f t="shared" si="8"/>
        <v>2054165.7829999998</v>
      </c>
      <c r="G108" s="21">
        <f t="shared" si="7"/>
        <v>126397.31687069098</v>
      </c>
      <c r="H108" s="22"/>
      <c r="I108" s="73"/>
      <c r="J108" s="22"/>
      <c r="K108" s="22"/>
      <c r="L108" s="78"/>
      <c r="M108" s="22"/>
      <c r="N108" s="60"/>
      <c r="O108" s="59"/>
    </row>
    <row r="109" spans="1:15" ht="15">
      <c r="A109" s="7"/>
      <c r="B109" s="4" t="s">
        <v>8</v>
      </c>
      <c r="C109" s="22"/>
      <c r="D109" s="47">
        <f>75*C101/1165</f>
        <v>78.21888412017168</v>
      </c>
      <c r="E109" s="69">
        <f t="shared" si="9"/>
        <v>17000</v>
      </c>
      <c r="F109" s="2">
        <f t="shared" si="8"/>
        <v>2071165.7829999998</v>
      </c>
      <c r="G109" s="21">
        <f t="shared" si="7"/>
        <v>162004.27637414163</v>
      </c>
      <c r="H109" s="22"/>
      <c r="I109" s="73"/>
      <c r="J109" s="22"/>
      <c r="K109" s="22"/>
      <c r="L109" s="78"/>
      <c r="M109" s="22"/>
      <c r="N109" s="60"/>
      <c r="O109" s="59"/>
    </row>
    <row r="110" spans="1:15" ht="15">
      <c r="A110" s="7"/>
      <c r="B110" s="4" t="s">
        <v>9</v>
      </c>
      <c r="C110" s="22"/>
      <c r="D110" s="47">
        <f>103*C101/1165</f>
        <v>107.4206008583691</v>
      </c>
      <c r="E110" s="69">
        <f t="shared" si="9"/>
        <v>17000</v>
      </c>
      <c r="F110" s="2">
        <f t="shared" si="8"/>
        <v>2088165.7829999998</v>
      </c>
      <c r="G110" s="21">
        <f t="shared" si="7"/>
        <v>224312.02310174677</v>
      </c>
      <c r="H110" s="22"/>
      <c r="I110" s="73"/>
      <c r="J110" s="22"/>
      <c r="K110" s="22"/>
      <c r="L110" s="78"/>
      <c r="M110" s="22"/>
      <c r="N110" s="60"/>
      <c r="O110" s="59"/>
    </row>
    <row r="111" spans="1:15" ht="15">
      <c r="A111" s="7"/>
      <c r="B111" s="4" t="s">
        <v>10</v>
      </c>
      <c r="C111" s="22"/>
      <c r="D111" s="47">
        <f>115*C101/1165</f>
        <v>119.93562231759657</v>
      </c>
      <c r="E111" s="69">
        <f t="shared" si="9"/>
        <v>17000</v>
      </c>
      <c r="F111" s="2">
        <f t="shared" si="8"/>
        <v>2105165.783</v>
      </c>
      <c r="G111" s="21">
        <f t="shared" si="7"/>
        <v>252484.36826581543</v>
      </c>
      <c r="H111" s="22"/>
      <c r="I111" s="73"/>
      <c r="J111" s="22"/>
      <c r="K111" s="22"/>
      <c r="L111" s="78"/>
      <c r="M111" s="22"/>
      <c r="N111" s="60"/>
      <c r="O111" s="59"/>
    </row>
    <row r="112" spans="1:17" ht="15">
      <c r="A112" s="9"/>
      <c r="B112" s="5" t="s">
        <v>11</v>
      </c>
      <c r="C112" s="49"/>
      <c r="D112" s="48">
        <f>128*C101/1165</f>
        <v>133.49356223175965</v>
      </c>
      <c r="E112" s="69">
        <f t="shared" si="9"/>
        <v>17000</v>
      </c>
      <c r="F112" s="23">
        <f t="shared" si="8"/>
        <v>2122165.783</v>
      </c>
      <c r="G112" s="24">
        <f t="shared" si="7"/>
        <v>283295.4700190215</v>
      </c>
      <c r="H112" s="24">
        <f>SUM(G101:G112)</f>
        <v>2459625.2847140986</v>
      </c>
      <c r="I112" s="74">
        <f>D16*1000</f>
        <v>2650900</v>
      </c>
      <c r="J112" s="24">
        <f>H112-I112</f>
        <v>-191274.71528590145</v>
      </c>
      <c r="K112" s="24">
        <f>O100</f>
        <v>0</v>
      </c>
      <c r="L112" s="28">
        <f>H112+K112</f>
        <v>2459625.2847140986</v>
      </c>
      <c r="M112" s="55">
        <f>L112/I112</f>
        <v>0.9278453675031493</v>
      </c>
      <c r="N112" s="61">
        <f>IF(I112&gt;L112,I112-L112,0)</f>
        <v>191274.71528590145</v>
      </c>
      <c r="O112" s="62">
        <f>IF((L112-I112)&gt;0,L112-I112,0)</f>
        <v>0</v>
      </c>
      <c r="P112" s="63"/>
      <c r="Q112" s="63"/>
    </row>
    <row r="113" spans="1:15" ht="15">
      <c r="A113" s="6"/>
      <c r="B113" s="3" t="s">
        <v>12</v>
      </c>
      <c r="C113" s="50">
        <v>1215</v>
      </c>
      <c r="D113" s="46">
        <f>130*C113/1165</f>
        <v>135.57939914163092</v>
      </c>
      <c r="E113" s="70">
        <v>14000</v>
      </c>
      <c r="F113" s="19">
        <f t="shared" si="8"/>
        <v>2136165.783</v>
      </c>
      <c r="G113" s="20">
        <f t="shared" si="7"/>
        <v>289620.0733260515</v>
      </c>
      <c r="H113" s="25"/>
      <c r="I113" s="75"/>
      <c r="J113" s="25"/>
      <c r="K113" s="25"/>
      <c r="L113" s="77"/>
      <c r="M113" s="25"/>
      <c r="N113" s="60"/>
      <c r="O113" s="59"/>
    </row>
    <row r="114" spans="1:15" ht="15">
      <c r="A114" s="7"/>
      <c r="B114" s="4" t="s">
        <v>13</v>
      </c>
      <c r="C114" s="22"/>
      <c r="D114" s="47">
        <f>133*C113/1165</f>
        <v>138.70815450643778</v>
      </c>
      <c r="E114" s="69">
        <f>$E$113</f>
        <v>14000</v>
      </c>
      <c r="F114" s="2">
        <f t="shared" si="8"/>
        <v>2150165.783</v>
      </c>
      <c r="G114" s="21">
        <f t="shared" si="7"/>
        <v>298245.52764281974</v>
      </c>
      <c r="H114" s="22"/>
      <c r="I114" s="73"/>
      <c r="J114" s="22"/>
      <c r="K114" s="22"/>
      <c r="L114" s="78"/>
      <c r="M114" s="22"/>
      <c r="N114" s="60"/>
      <c r="O114" s="59"/>
    </row>
    <row r="115" spans="1:15" ht="15">
      <c r="A115" s="7"/>
      <c r="B115" s="4" t="s">
        <v>14</v>
      </c>
      <c r="C115" s="22"/>
      <c r="D115" s="47">
        <f>127*C113/1165</f>
        <v>132.45064377682402</v>
      </c>
      <c r="E115" s="69">
        <f aca="true" t="shared" si="10" ref="E115:E124">$E$113</f>
        <v>14000</v>
      </c>
      <c r="F115" s="2">
        <f t="shared" si="8"/>
        <v>2164165.783</v>
      </c>
      <c r="G115" s="21">
        <f t="shared" si="7"/>
        <v>286645.1511981244</v>
      </c>
      <c r="H115" s="22"/>
      <c r="I115" s="73"/>
      <c r="J115" s="22"/>
      <c r="K115" s="22"/>
      <c r="L115" s="78"/>
      <c r="M115" s="22"/>
      <c r="N115" s="60"/>
      <c r="O115" s="59"/>
    </row>
    <row r="116" spans="1:15" ht="15">
      <c r="A116" s="7"/>
      <c r="B116" s="4" t="s">
        <v>15</v>
      </c>
      <c r="C116" s="22"/>
      <c r="D116" s="47">
        <f>102*C113/1165</f>
        <v>106.37768240343348</v>
      </c>
      <c r="E116" s="69">
        <f t="shared" si="10"/>
        <v>14000</v>
      </c>
      <c r="F116" s="2">
        <f t="shared" si="8"/>
        <v>2178165.783</v>
      </c>
      <c r="G116" s="21">
        <f t="shared" si="7"/>
        <v>231708.227886</v>
      </c>
      <c r="H116" s="22"/>
      <c r="I116" s="73"/>
      <c r="J116" s="22"/>
      <c r="K116" s="22"/>
      <c r="L116" s="78"/>
      <c r="M116" s="22"/>
      <c r="N116" s="60"/>
      <c r="O116" s="59"/>
    </row>
    <row r="117" spans="1:15" ht="15">
      <c r="A117" s="7"/>
      <c r="B117" s="4" t="s">
        <v>16</v>
      </c>
      <c r="C117" s="22"/>
      <c r="D117" s="47">
        <f>88*C113/1165</f>
        <v>91.77682403433477</v>
      </c>
      <c r="E117" s="69">
        <f t="shared" si="10"/>
        <v>14000</v>
      </c>
      <c r="F117" s="2">
        <f t="shared" si="8"/>
        <v>2192165.783</v>
      </c>
      <c r="G117" s="21">
        <f t="shared" si="7"/>
        <v>201190.01332048068</v>
      </c>
      <c r="H117" s="22"/>
      <c r="I117" s="73"/>
      <c r="J117" s="22"/>
      <c r="K117" s="22"/>
      <c r="L117" s="78"/>
      <c r="M117" s="22"/>
      <c r="N117" s="60"/>
      <c r="O117" s="59"/>
    </row>
    <row r="118" spans="1:15" ht="15">
      <c r="A118" s="8" t="s">
        <v>26</v>
      </c>
      <c r="B118" s="4" t="s">
        <v>18</v>
      </c>
      <c r="C118" s="22"/>
      <c r="D118" s="47">
        <f>59*C113/1165</f>
        <v>61.532188841201716</v>
      </c>
      <c r="E118" s="69">
        <f t="shared" si="10"/>
        <v>14000</v>
      </c>
      <c r="F118" s="2">
        <f t="shared" si="8"/>
        <v>2206165.783</v>
      </c>
      <c r="G118" s="21">
        <f t="shared" si="7"/>
        <v>135750.20957455365</v>
      </c>
      <c r="H118" s="22"/>
      <c r="I118" s="73"/>
      <c r="J118" s="22"/>
      <c r="K118" s="22"/>
      <c r="L118" s="78"/>
      <c r="M118" s="22"/>
      <c r="N118" s="60"/>
      <c r="O118" s="59"/>
    </row>
    <row r="119" spans="1:15" ht="15">
      <c r="A119" s="7"/>
      <c r="B119" s="4" t="s">
        <v>19</v>
      </c>
      <c r="C119" s="22"/>
      <c r="D119" s="47">
        <f>46*C113/1165</f>
        <v>47.97424892703863</v>
      </c>
      <c r="E119" s="69">
        <f t="shared" si="10"/>
        <v>14000</v>
      </c>
      <c r="F119" s="2">
        <f t="shared" si="8"/>
        <v>2220165.783</v>
      </c>
      <c r="G119" s="21">
        <f t="shared" si="7"/>
        <v>106510.78593293563</v>
      </c>
      <c r="H119" s="22"/>
      <c r="I119" s="73"/>
      <c r="J119" s="22"/>
      <c r="K119" s="22"/>
      <c r="L119" s="78"/>
      <c r="M119" s="22"/>
      <c r="N119" s="60"/>
      <c r="O119" s="59"/>
    </row>
    <row r="120" spans="1:15" ht="15">
      <c r="A120" s="7"/>
      <c r="B120" s="4" t="s">
        <v>7</v>
      </c>
      <c r="C120" s="22"/>
      <c r="D120" s="47">
        <f>59*C113/1165</f>
        <v>61.532188841201716</v>
      </c>
      <c r="E120" s="69">
        <f t="shared" si="10"/>
        <v>14000</v>
      </c>
      <c r="F120" s="2">
        <f t="shared" si="8"/>
        <v>2234165.783</v>
      </c>
      <c r="G120" s="21">
        <f t="shared" si="7"/>
        <v>137473.11086210728</v>
      </c>
      <c r="H120" s="22"/>
      <c r="I120" s="73"/>
      <c r="J120" s="22"/>
      <c r="K120" s="22"/>
      <c r="L120" s="78"/>
      <c r="M120" s="22"/>
      <c r="N120" s="60"/>
      <c r="O120" s="59"/>
    </row>
    <row r="121" spans="1:15" ht="15">
      <c r="A121" s="7"/>
      <c r="B121" s="4" t="s">
        <v>8</v>
      </c>
      <c r="C121" s="22"/>
      <c r="D121" s="47">
        <f>75*C113/1165</f>
        <v>78.21888412017168</v>
      </c>
      <c r="E121" s="69">
        <f t="shared" si="10"/>
        <v>14000</v>
      </c>
      <c r="F121" s="2">
        <f t="shared" si="8"/>
        <v>2248165.783</v>
      </c>
      <c r="G121" s="21">
        <f t="shared" si="7"/>
        <v>175849.01886341203</v>
      </c>
      <c r="H121" s="22"/>
      <c r="I121" s="73"/>
      <c r="J121" s="22"/>
      <c r="K121" s="22"/>
      <c r="L121" s="78"/>
      <c r="M121" s="22"/>
      <c r="N121" s="60"/>
      <c r="O121" s="59"/>
    </row>
    <row r="122" spans="1:15" ht="15">
      <c r="A122" s="7"/>
      <c r="B122" s="4" t="s">
        <v>9</v>
      </c>
      <c r="C122" s="22"/>
      <c r="D122" s="47">
        <f>103*C113/1165</f>
        <v>107.4206008583691</v>
      </c>
      <c r="E122" s="69">
        <f t="shared" si="10"/>
        <v>14000</v>
      </c>
      <c r="F122" s="2">
        <f t="shared" si="8"/>
        <v>2262165.783</v>
      </c>
      <c r="G122" s="21">
        <f t="shared" si="7"/>
        <v>243003.207651103</v>
      </c>
      <c r="H122" s="22"/>
      <c r="I122" s="73"/>
      <c r="J122" s="22"/>
      <c r="K122" s="22"/>
      <c r="L122" s="78"/>
      <c r="M122" s="22"/>
      <c r="N122" s="60"/>
      <c r="O122" s="59"/>
    </row>
    <row r="123" spans="1:15" ht="15">
      <c r="A123" s="7"/>
      <c r="B123" s="4" t="s">
        <v>10</v>
      </c>
      <c r="C123" s="22"/>
      <c r="D123" s="47">
        <f>115*C113/1165</f>
        <v>119.93562231759657</v>
      </c>
      <c r="E123" s="69">
        <f t="shared" si="10"/>
        <v>14000</v>
      </c>
      <c r="F123" s="2">
        <f t="shared" si="8"/>
        <v>2276165.783</v>
      </c>
      <c r="G123" s="21">
        <f t="shared" si="7"/>
        <v>272993.35968212446</v>
      </c>
      <c r="H123" s="22"/>
      <c r="I123" s="73"/>
      <c r="J123" s="22"/>
      <c r="K123" s="22"/>
      <c r="L123" s="78"/>
      <c r="M123" s="22"/>
      <c r="N123" s="60"/>
      <c r="O123" s="59"/>
    </row>
    <row r="124" spans="1:15" ht="15">
      <c r="A124" s="9"/>
      <c r="B124" s="5" t="s">
        <v>11</v>
      </c>
      <c r="C124" s="49"/>
      <c r="D124" s="48">
        <f>128*C113/1165</f>
        <v>133.49356223175965</v>
      </c>
      <c r="E124" s="69">
        <f t="shared" si="10"/>
        <v>14000</v>
      </c>
      <c r="F124" s="23">
        <f t="shared" si="8"/>
        <v>2290165.783</v>
      </c>
      <c r="G124" s="24">
        <f t="shared" si="7"/>
        <v>305722.3884739571</v>
      </c>
      <c r="H124" s="24">
        <f>SUM(G113:G124)</f>
        <v>2684711.0744136693</v>
      </c>
      <c r="I124" s="74">
        <f>D17*1000</f>
        <v>2759200</v>
      </c>
      <c r="J124" s="24">
        <f>H124-I124</f>
        <v>-74488.9255863307</v>
      </c>
      <c r="K124" s="24">
        <f>O112</f>
        <v>0</v>
      </c>
      <c r="L124" s="28">
        <f>H124+K124</f>
        <v>2684711.0744136693</v>
      </c>
      <c r="M124" s="55">
        <f>L124/I124</f>
        <v>0.9730034337538668</v>
      </c>
      <c r="N124" s="61">
        <f>IF(I124&gt;L124,I124-L124,0)</f>
        <v>74488.9255863307</v>
      </c>
      <c r="O124" s="62">
        <f>IF((L124-I124)&gt;0,L124-I124,0)</f>
        <v>0</v>
      </c>
    </row>
    <row r="125" spans="1:15" ht="15">
      <c r="A125" s="6"/>
      <c r="B125" s="3" t="s">
        <v>12</v>
      </c>
      <c r="C125" s="50">
        <v>1215</v>
      </c>
      <c r="D125" s="46">
        <f>130*C125/1165</f>
        <v>135.57939914163092</v>
      </c>
      <c r="E125" s="70">
        <v>10500</v>
      </c>
      <c r="F125" s="19">
        <f t="shared" si="8"/>
        <v>2300665.783</v>
      </c>
      <c r="G125" s="20">
        <f t="shared" si="7"/>
        <v>311922.8844848498</v>
      </c>
      <c r="H125" s="25"/>
      <c r="I125" s="75"/>
      <c r="J125" s="25"/>
      <c r="K125" s="25"/>
      <c r="L125" s="77"/>
      <c r="M125" s="25"/>
      <c r="N125" s="60"/>
      <c r="O125" s="59"/>
    </row>
    <row r="126" spans="1:15" ht="15">
      <c r="A126" s="7"/>
      <c r="B126" s="4" t="s">
        <v>13</v>
      </c>
      <c r="C126" s="22"/>
      <c r="D126" s="47">
        <f>133*C125/1165</f>
        <v>138.70815450643778</v>
      </c>
      <c r="E126" s="69">
        <f>$E$125</f>
        <v>10500</v>
      </c>
      <c r="F126" s="2">
        <f t="shared" si="8"/>
        <v>2311165.783</v>
      </c>
      <c r="G126" s="21">
        <f t="shared" si="7"/>
        <v>320577.5405183562</v>
      </c>
      <c r="H126" s="22"/>
      <c r="I126" s="73"/>
      <c r="J126" s="22"/>
      <c r="K126" s="22"/>
      <c r="L126" s="78"/>
      <c r="M126" s="22"/>
      <c r="N126" s="60"/>
      <c r="O126" s="59"/>
    </row>
    <row r="127" spans="1:15" ht="15">
      <c r="A127" s="7"/>
      <c r="B127" s="4" t="s">
        <v>14</v>
      </c>
      <c r="C127" s="22"/>
      <c r="D127" s="47">
        <f>127*C125/1165</f>
        <v>132.45064377682402</v>
      </c>
      <c r="E127" s="69">
        <f aca="true" t="shared" si="11" ref="E127:E136">$E$125</f>
        <v>10500</v>
      </c>
      <c r="F127" s="2">
        <f t="shared" si="8"/>
        <v>2321665.783</v>
      </c>
      <c r="G127" s="21">
        <f t="shared" si="7"/>
        <v>307506.12759297417</v>
      </c>
      <c r="H127" s="22"/>
      <c r="I127" s="73"/>
      <c r="J127" s="22"/>
      <c r="K127" s="22"/>
      <c r="L127" s="78"/>
      <c r="M127" s="22"/>
      <c r="N127" s="60"/>
      <c r="O127" s="59"/>
    </row>
    <row r="128" spans="1:15" ht="15">
      <c r="A128" s="7"/>
      <c r="B128" s="4" t="s">
        <v>15</v>
      </c>
      <c r="C128" s="22"/>
      <c r="D128" s="47">
        <f>102*C125/1165</f>
        <v>106.37768240343348</v>
      </c>
      <c r="E128" s="69">
        <f t="shared" si="11"/>
        <v>10500</v>
      </c>
      <c r="F128" s="2">
        <f t="shared" si="8"/>
        <v>2332165.783</v>
      </c>
      <c r="G128" s="21">
        <f t="shared" si="7"/>
        <v>248090.39097612875</v>
      </c>
      <c r="H128" s="22"/>
      <c r="I128" s="73"/>
      <c r="J128" s="22"/>
      <c r="K128" s="22"/>
      <c r="L128" s="78"/>
      <c r="M128" s="22"/>
      <c r="N128" s="60"/>
      <c r="O128" s="59"/>
    </row>
    <row r="129" spans="1:15" ht="15">
      <c r="A129" s="7"/>
      <c r="B129" s="4" t="s">
        <v>16</v>
      </c>
      <c r="C129" s="22"/>
      <c r="D129" s="47">
        <f>88*C125/1165</f>
        <v>91.77682403433477</v>
      </c>
      <c r="E129" s="69">
        <f t="shared" si="11"/>
        <v>10500</v>
      </c>
      <c r="F129" s="2">
        <f t="shared" si="8"/>
        <v>2342665.783</v>
      </c>
      <c r="G129" s="21">
        <f t="shared" si="7"/>
        <v>215002.42533764808</v>
      </c>
      <c r="H129" s="22"/>
      <c r="I129" s="73"/>
      <c r="J129" s="22"/>
      <c r="K129" s="22"/>
      <c r="L129" s="78"/>
      <c r="M129" s="22"/>
      <c r="N129" s="60"/>
      <c r="O129" s="59"/>
    </row>
    <row r="130" spans="1:15" ht="15">
      <c r="A130" s="8" t="s">
        <v>27</v>
      </c>
      <c r="B130" s="4" t="s">
        <v>18</v>
      </c>
      <c r="C130" s="22"/>
      <c r="D130" s="47">
        <f>59*C125/1165</f>
        <v>61.532188841201716</v>
      </c>
      <c r="E130" s="69">
        <f t="shared" si="11"/>
        <v>10500</v>
      </c>
      <c r="F130" s="2">
        <f t="shared" si="8"/>
        <v>2353165.783</v>
      </c>
      <c r="G130" s="21">
        <f t="shared" si="7"/>
        <v>144795.44133421028</v>
      </c>
      <c r="H130" s="22"/>
      <c r="I130" s="73"/>
      <c r="J130" s="22"/>
      <c r="K130" s="22"/>
      <c r="L130" s="78"/>
      <c r="M130" s="22"/>
      <c r="N130" s="60"/>
      <c r="O130" s="59"/>
    </row>
    <row r="131" spans="1:15" ht="15">
      <c r="A131" s="7"/>
      <c r="B131" s="4" t="s">
        <v>19</v>
      </c>
      <c r="C131" s="22"/>
      <c r="D131" s="47">
        <f>46*C125/1165</f>
        <v>47.97424892703863</v>
      </c>
      <c r="E131" s="69">
        <f t="shared" si="11"/>
        <v>10500</v>
      </c>
      <c r="F131" s="2">
        <f t="shared" si="8"/>
        <v>2363665.783</v>
      </c>
      <c r="G131" s="21">
        <f t="shared" si="7"/>
        <v>113395.09065396567</v>
      </c>
      <c r="H131" s="22"/>
      <c r="I131" s="73"/>
      <c r="J131" s="22"/>
      <c r="K131" s="22"/>
      <c r="L131" s="78"/>
      <c r="M131" s="22"/>
      <c r="N131" s="60"/>
      <c r="O131" s="59"/>
    </row>
    <row r="132" spans="1:15" ht="15">
      <c r="A132" s="7"/>
      <c r="B132" s="4" t="s">
        <v>7</v>
      </c>
      <c r="C132" s="22"/>
      <c r="D132" s="47">
        <f>59*C125/1165</f>
        <v>61.532188841201716</v>
      </c>
      <c r="E132" s="69">
        <f t="shared" si="11"/>
        <v>10500</v>
      </c>
      <c r="F132" s="2">
        <f t="shared" si="8"/>
        <v>2374165.783</v>
      </c>
      <c r="G132" s="21">
        <f t="shared" si="7"/>
        <v>146087.61729987554</v>
      </c>
      <c r="H132" s="22"/>
      <c r="I132" s="73"/>
      <c r="J132" s="22"/>
      <c r="K132" s="22"/>
      <c r="L132" s="78"/>
      <c r="M132" s="22"/>
      <c r="N132" s="60"/>
      <c r="O132" s="59"/>
    </row>
    <row r="133" spans="1:15" ht="15">
      <c r="A133" s="7"/>
      <c r="B133" s="4" t="s">
        <v>8</v>
      </c>
      <c r="C133" s="22"/>
      <c r="D133" s="47">
        <f>75*C125/1165</f>
        <v>78.21888412017168</v>
      </c>
      <c r="E133" s="69">
        <f t="shared" si="11"/>
        <v>10500</v>
      </c>
      <c r="F133" s="2">
        <f t="shared" si="8"/>
        <v>2384665.783</v>
      </c>
      <c r="G133" s="21">
        <f t="shared" si="7"/>
        <v>186525.89654581543</v>
      </c>
      <c r="H133" s="22"/>
      <c r="I133" s="73"/>
      <c r="J133" s="22"/>
      <c r="K133" s="22"/>
      <c r="L133" s="78"/>
      <c r="M133" s="22"/>
      <c r="N133" s="60"/>
      <c r="O133" s="59"/>
    </row>
    <row r="134" spans="1:15" ht="15">
      <c r="A134" s="7"/>
      <c r="B134" s="4" t="s">
        <v>9</v>
      </c>
      <c r="C134" s="22"/>
      <c r="D134" s="47">
        <f>103*C125/1165</f>
        <v>107.4206008583691</v>
      </c>
      <c r="E134" s="69">
        <f t="shared" si="11"/>
        <v>10500</v>
      </c>
      <c r="F134" s="2">
        <f t="shared" si="8"/>
        <v>2395165.783</v>
      </c>
      <c r="G134" s="21">
        <f t="shared" si="7"/>
        <v>257290.14756526606</v>
      </c>
      <c r="H134" s="22"/>
      <c r="I134" s="73"/>
      <c r="J134" s="22"/>
      <c r="K134" s="22"/>
      <c r="L134" s="78"/>
      <c r="M134" s="22"/>
      <c r="N134" s="60"/>
      <c r="O134" s="59"/>
    </row>
    <row r="135" spans="1:15" ht="15">
      <c r="A135" s="7"/>
      <c r="B135" s="4" t="s">
        <v>10</v>
      </c>
      <c r="C135" s="22"/>
      <c r="D135" s="47">
        <f>115*C125/1165</f>
        <v>119.93562231759657</v>
      </c>
      <c r="E135" s="69">
        <f t="shared" si="11"/>
        <v>10500</v>
      </c>
      <c r="F135" s="2">
        <f t="shared" si="8"/>
        <v>2405665.783</v>
      </c>
      <c r="G135" s="21">
        <f t="shared" si="7"/>
        <v>288525.0227722532</v>
      </c>
      <c r="H135" s="22"/>
      <c r="I135" s="73"/>
      <c r="J135" s="22"/>
      <c r="K135" s="22"/>
      <c r="L135" s="78"/>
      <c r="M135" s="22"/>
      <c r="N135" s="60"/>
      <c r="O135" s="59"/>
    </row>
    <row r="136" spans="1:15" ht="15">
      <c r="A136" s="9"/>
      <c r="B136" s="5" t="s">
        <v>11</v>
      </c>
      <c r="C136" s="49"/>
      <c r="D136" s="48">
        <f>128*C125/1165</f>
        <v>133.49356223175965</v>
      </c>
      <c r="E136" s="69">
        <f t="shared" si="11"/>
        <v>10500</v>
      </c>
      <c r="F136" s="23">
        <f t="shared" si="8"/>
        <v>2416165.783</v>
      </c>
      <c r="G136" s="24">
        <f t="shared" si="7"/>
        <v>322542.5773151588</v>
      </c>
      <c r="H136" s="24">
        <f>SUM(G125:G136)</f>
        <v>2862261.1623965017</v>
      </c>
      <c r="I136" s="74">
        <f>D18*1000</f>
        <v>2869800</v>
      </c>
      <c r="J136" s="24">
        <f>H136-I136</f>
        <v>-7538.83760349825</v>
      </c>
      <c r="K136" s="24">
        <f>O124</f>
        <v>0</v>
      </c>
      <c r="L136" s="28">
        <f>H136+K136</f>
        <v>2862261.1623965017</v>
      </c>
      <c r="M136" s="55">
        <f>L136/I136</f>
        <v>0.997373044252736</v>
      </c>
      <c r="N136" s="61">
        <f>IF(I136&gt;L136,I136-L136,0)</f>
        <v>7538.83760349825</v>
      </c>
      <c r="O136" s="62">
        <f>IF((L136-I136)&gt;0,L136-I136,0)</f>
        <v>0</v>
      </c>
    </row>
    <row r="137" spans="1:15" ht="15">
      <c r="A137" s="6"/>
      <c r="B137" s="3" t="s">
        <v>12</v>
      </c>
      <c r="C137" s="50">
        <v>1215</v>
      </c>
      <c r="D137" s="46">
        <f>130*C137/1165</f>
        <v>135.57939914163092</v>
      </c>
      <c r="E137" s="70">
        <v>8500</v>
      </c>
      <c r="F137" s="19">
        <f t="shared" si="8"/>
        <v>2424665.783</v>
      </c>
      <c r="G137" s="20">
        <f t="shared" si="7"/>
        <v>328734.72997841204</v>
      </c>
      <c r="H137" s="25"/>
      <c r="I137" s="75"/>
      <c r="J137" s="25"/>
      <c r="K137" s="25"/>
      <c r="L137" s="77"/>
      <c r="M137" s="25"/>
      <c r="N137" s="60"/>
      <c r="O137" s="59"/>
    </row>
    <row r="138" spans="1:15" ht="15">
      <c r="A138" s="7"/>
      <c r="B138" s="4" t="s">
        <v>13</v>
      </c>
      <c r="C138" s="22"/>
      <c r="D138" s="47">
        <f>133*C137/1165</f>
        <v>138.70815450643778</v>
      </c>
      <c r="E138" s="69">
        <f>$E$137</f>
        <v>8500</v>
      </c>
      <c r="F138" s="2">
        <f t="shared" si="8"/>
        <v>2433165.783</v>
      </c>
      <c r="G138" s="21">
        <f t="shared" si="7"/>
        <v>337499.9353681416</v>
      </c>
      <c r="H138" s="22"/>
      <c r="I138" s="73"/>
      <c r="J138" s="22"/>
      <c r="K138" s="22"/>
      <c r="L138" s="78"/>
      <c r="M138" s="22"/>
      <c r="N138" s="60"/>
      <c r="O138" s="59"/>
    </row>
    <row r="139" spans="1:15" ht="15">
      <c r="A139" s="7"/>
      <c r="B139" s="4" t="s">
        <v>14</v>
      </c>
      <c r="C139" s="22"/>
      <c r="D139" s="47">
        <f>127*C137/1165</f>
        <v>132.45064377682402</v>
      </c>
      <c r="E139" s="69">
        <f aca="true" t="shared" si="12" ref="E139:E148">$E$137</f>
        <v>8500</v>
      </c>
      <c r="F139" s="2">
        <f t="shared" si="8"/>
        <v>2441665.783</v>
      </c>
      <c r="G139" s="21">
        <f t="shared" si="7"/>
        <v>323400.2048461931</v>
      </c>
      <c r="H139" s="22"/>
      <c r="I139" s="73"/>
      <c r="J139" s="22"/>
      <c r="K139" s="22"/>
      <c r="L139" s="78"/>
      <c r="M139" s="22"/>
      <c r="N139" s="60"/>
      <c r="O139" s="59"/>
    </row>
    <row r="140" spans="1:15" ht="15">
      <c r="A140" s="7"/>
      <c r="B140" s="4" t="s">
        <v>15</v>
      </c>
      <c r="C140" s="22"/>
      <c r="D140" s="47">
        <f>102*C137/1165</f>
        <v>106.37768240343348</v>
      </c>
      <c r="E140" s="69">
        <f t="shared" si="12"/>
        <v>8500</v>
      </c>
      <c r="F140" s="2">
        <f t="shared" si="8"/>
        <v>2450165.783</v>
      </c>
      <c r="G140" s="21">
        <f t="shared" si="7"/>
        <v>260642.9574997339</v>
      </c>
      <c r="H140" s="22"/>
      <c r="I140" s="73"/>
      <c r="J140" s="22"/>
      <c r="K140" s="22"/>
      <c r="L140" s="78"/>
      <c r="M140" s="22"/>
      <c r="N140" s="60"/>
      <c r="O140" s="59"/>
    </row>
    <row r="141" spans="1:15" ht="15">
      <c r="A141" s="7"/>
      <c r="B141" s="4" t="s">
        <v>16</v>
      </c>
      <c r="C141" s="22"/>
      <c r="D141" s="47">
        <f>88*C137/1165</f>
        <v>91.77682403433477</v>
      </c>
      <c r="E141" s="69">
        <f t="shared" si="12"/>
        <v>8500</v>
      </c>
      <c r="F141" s="2">
        <f t="shared" si="8"/>
        <v>2458665.783</v>
      </c>
      <c r="G141" s="21">
        <f t="shared" si="7"/>
        <v>225648.5369256309</v>
      </c>
      <c r="H141" s="22"/>
      <c r="I141" s="73"/>
      <c r="J141" s="22"/>
      <c r="K141" s="22"/>
      <c r="L141" s="78"/>
      <c r="M141" s="22"/>
      <c r="N141" s="60"/>
      <c r="O141" s="59"/>
    </row>
    <row r="142" spans="1:15" ht="15">
      <c r="A142" s="8" t="s">
        <v>54</v>
      </c>
      <c r="B142" s="4" t="s">
        <v>18</v>
      </c>
      <c r="C142" s="22"/>
      <c r="D142" s="47">
        <f>59*C137/1165</f>
        <v>61.532188841201716</v>
      </c>
      <c r="E142" s="69">
        <f t="shared" si="12"/>
        <v>8500</v>
      </c>
      <c r="F142" s="2">
        <f t="shared" si="8"/>
        <v>2467165.783</v>
      </c>
      <c r="G142" s="21">
        <f t="shared" si="7"/>
        <v>151810.11086210728</v>
      </c>
      <c r="H142" s="22"/>
      <c r="I142" s="73"/>
      <c r="J142" s="22"/>
      <c r="K142" s="22"/>
      <c r="L142" s="78"/>
      <c r="M142" s="22"/>
      <c r="N142" s="60"/>
      <c r="O142" s="59"/>
    </row>
    <row r="143" spans="1:15" ht="15">
      <c r="A143" s="7"/>
      <c r="B143" s="4" t="s">
        <v>19</v>
      </c>
      <c r="C143" s="22"/>
      <c r="D143" s="47">
        <f>46*C137/1165</f>
        <v>47.97424892703863</v>
      </c>
      <c r="E143" s="69">
        <f t="shared" si="12"/>
        <v>8500</v>
      </c>
      <c r="F143" s="2">
        <f t="shared" si="8"/>
        <v>2475665.783</v>
      </c>
      <c r="G143" s="21">
        <f t="shared" si="7"/>
        <v>118768.20653379399</v>
      </c>
      <c r="H143" s="22"/>
      <c r="I143" s="73"/>
      <c r="J143" s="22"/>
      <c r="K143" s="22"/>
      <c r="L143" s="78"/>
      <c r="M143" s="22"/>
      <c r="N143" s="60"/>
      <c r="O143" s="59"/>
    </row>
    <row r="144" spans="1:15" ht="15">
      <c r="A144" s="7"/>
      <c r="B144" s="4" t="s">
        <v>7</v>
      </c>
      <c r="C144" s="22"/>
      <c r="D144" s="47">
        <f>59*C137/1165</f>
        <v>61.532188841201716</v>
      </c>
      <c r="E144" s="69">
        <f t="shared" si="12"/>
        <v>8500</v>
      </c>
      <c r="F144" s="2">
        <f t="shared" si="8"/>
        <v>2484165.783</v>
      </c>
      <c r="G144" s="21">
        <f t="shared" si="7"/>
        <v>152856.15807240774</v>
      </c>
      <c r="H144" s="22"/>
      <c r="I144" s="73"/>
      <c r="J144" s="22"/>
      <c r="K144" s="22"/>
      <c r="L144" s="78"/>
      <c r="M144" s="22"/>
      <c r="N144" s="60"/>
      <c r="O144" s="59"/>
    </row>
    <row r="145" spans="1:15" ht="15">
      <c r="A145" s="7"/>
      <c r="B145" s="4" t="s">
        <v>8</v>
      </c>
      <c r="C145" s="22"/>
      <c r="D145" s="47">
        <f>75*C137/1165</f>
        <v>78.21888412017168</v>
      </c>
      <c r="E145" s="69">
        <f t="shared" si="12"/>
        <v>8500</v>
      </c>
      <c r="F145" s="2">
        <f t="shared" si="8"/>
        <v>2492665.783</v>
      </c>
      <c r="G145" s="21">
        <f t="shared" si="7"/>
        <v>194973.536030794</v>
      </c>
      <c r="H145" s="22"/>
      <c r="I145" s="73"/>
      <c r="J145" s="22"/>
      <c r="K145" s="22"/>
      <c r="L145" s="78"/>
      <c r="M145" s="22"/>
      <c r="N145" s="60"/>
      <c r="O145" s="59"/>
    </row>
    <row r="146" spans="1:15" ht="15">
      <c r="A146" s="7"/>
      <c r="B146" s="4" t="s">
        <v>9</v>
      </c>
      <c r="C146" s="22"/>
      <c r="D146" s="47">
        <f>103*C137/1165</f>
        <v>107.4206008583691</v>
      </c>
      <c r="E146" s="69">
        <f t="shared" si="12"/>
        <v>8500</v>
      </c>
      <c r="F146" s="2">
        <f t="shared" si="8"/>
        <v>2501165.783</v>
      </c>
      <c r="G146" s="21">
        <f t="shared" si="7"/>
        <v>268676.7312562532</v>
      </c>
      <c r="H146" s="22"/>
      <c r="I146" s="73"/>
      <c r="J146" s="22"/>
      <c r="K146" s="22"/>
      <c r="L146" s="78"/>
      <c r="M146" s="22"/>
      <c r="N146" s="60"/>
      <c r="O146" s="59"/>
    </row>
    <row r="147" spans="1:15" ht="15">
      <c r="A147" s="7"/>
      <c r="B147" s="4" t="s">
        <v>10</v>
      </c>
      <c r="C147" s="22"/>
      <c r="D147" s="47">
        <f>115*C137/1165</f>
        <v>119.93562231759657</v>
      </c>
      <c r="E147" s="69">
        <f t="shared" si="12"/>
        <v>8500</v>
      </c>
      <c r="F147" s="2">
        <f t="shared" si="8"/>
        <v>2509665.783</v>
      </c>
      <c r="G147" s="21">
        <f t="shared" si="7"/>
        <v>300998.32749328326</v>
      </c>
      <c r="H147" s="22"/>
      <c r="I147" s="73"/>
      <c r="J147" s="22"/>
      <c r="K147" s="22"/>
      <c r="L147" s="78"/>
      <c r="M147" s="22"/>
      <c r="N147" s="60"/>
      <c r="O147" s="59"/>
    </row>
    <row r="148" spans="1:15" ht="15">
      <c r="A148" s="9"/>
      <c r="B148" s="5" t="s">
        <v>11</v>
      </c>
      <c r="C148" s="49"/>
      <c r="D148" s="48">
        <f>128*C137/1165</f>
        <v>133.49356223175965</v>
      </c>
      <c r="E148" s="71">
        <f t="shared" si="12"/>
        <v>8500</v>
      </c>
      <c r="F148" s="23">
        <f t="shared" si="8"/>
        <v>2518165.783</v>
      </c>
      <c r="G148" s="24">
        <f t="shared" si="7"/>
        <v>336158.9206627982</v>
      </c>
      <c r="H148" s="24">
        <f>SUM(G137:G148)</f>
        <v>3000168.3555295495</v>
      </c>
      <c r="I148" s="74">
        <f>D19*1000</f>
        <v>2982800</v>
      </c>
      <c r="J148" s="24">
        <f>H148-I148</f>
        <v>17368.35552954953</v>
      </c>
      <c r="K148" s="24">
        <f>O136</f>
        <v>0</v>
      </c>
      <c r="L148" s="28">
        <f>H148+K148</f>
        <v>3000168.3555295495</v>
      </c>
      <c r="M148" s="55">
        <f>L148/I148</f>
        <v>1.00582283610351</v>
      </c>
      <c r="N148" s="61">
        <f>IF(I148&gt;L148,I148-L148,0)</f>
        <v>0</v>
      </c>
      <c r="O148" s="62">
        <f>IF((L148-I148)&gt;0,L148-I148,0)</f>
        <v>17368.35552954953</v>
      </c>
    </row>
    <row r="149" spans="1:15" ht="15">
      <c r="A149" s="6"/>
      <c r="B149" s="3" t="s">
        <v>12</v>
      </c>
      <c r="C149" s="50">
        <v>1215</v>
      </c>
      <c r="D149" s="46">
        <f>130*C149/1165</f>
        <v>135.57939914163092</v>
      </c>
      <c r="E149" s="70">
        <v>7000</v>
      </c>
      <c r="F149" s="19">
        <f t="shared" si="8"/>
        <v>2525165.783</v>
      </c>
      <c r="G149" s="20">
        <f t="shared" si="7"/>
        <v>342360.4595921459</v>
      </c>
      <c r="H149" s="25"/>
      <c r="I149" s="75"/>
      <c r="J149" s="25"/>
      <c r="K149" s="25"/>
      <c r="L149" s="77"/>
      <c r="M149" s="25"/>
      <c r="N149" s="60"/>
      <c r="O149" s="59"/>
    </row>
    <row r="150" spans="1:15" ht="15">
      <c r="A150" s="7"/>
      <c r="B150" s="4" t="s">
        <v>13</v>
      </c>
      <c r="C150" s="22"/>
      <c r="D150" s="47">
        <f>133*C149/1165</f>
        <v>138.70815450643778</v>
      </c>
      <c r="E150" s="69">
        <f>$E$149</f>
        <v>7000</v>
      </c>
      <c r="F150" s="2">
        <f t="shared" si="8"/>
        <v>2532165.783</v>
      </c>
      <c r="G150" s="21">
        <f t="shared" si="7"/>
        <v>351232.042664279</v>
      </c>
      <c r="H150" s="22"/>
      <c r="I150" s="73"/>
      <c r="J150" s="22"/>
      <c r="K150" s="22"/>
      <c r="L150" s="78"/>
      <c r="M150" s="22"/>
      <c r="N150" s="60"/>
      <c r="O150" s="59"/>
    </row>
    <row r="151" spans="1:15" ht="15">
      <c r="A151" s="7"/>
      <c r="B151" s="4" t="s">
        <v>14</v>
      </c>
      <c r="C151" s="22"/>
      <c r="D151" s="47">
        <f>127*C149/1165</f>
        <v>132.45064377682402</v>
      </c>
      <c r="E151" s="69">
        <f aca="true" t="shared" si="13" ref="E151:E160">$E$149</f>
        <v>7000</v>
      </c>
      <c r="F151" s="2">
        <f t="shared" si="8"/>
        <v>2539165.783</v>
      </c>
      <c r="G151" s="21">
        <f t="shared" si="7"/>
        <v>336314.1426144334</v>
      </c>
      <c r="H151" s="22"/>
      <c r="I151" s="73"/>
      <c r="J151" s="22"/>
      <c r="K151" s="22"/>
      <c r="L151" s="78"/>
      <c r="M151" s="22"/>
      <c r="N151" s="60"/>
      <c r="O151" s="59"/>
    </row>
    <row r="152" spans="1:15" ht="15">
      <c r="A152" s="7"/>
      <c r="B152" s="4" t="s">
        <v>15</v>
      </c>
      <c r="C152" s="22"/>
      <c r="D152" s="47">
        <f>102*C149/1165</f>
        <v>106.37768240343348</v>
      </c>
      <c r="E152" s="69">
        <f t="shared" si="13"/>
        <v>7000</v>
      </c>
      <c r="F152" s="2">
        <f t="shared" si="8"/>
        <v>2546165.783</v>
      </c>
      <c r="G152" s="21">
        <f t="shared" si="7"/>
        <v>270855.21501046355</v>
      </c>
      <c r="H152" s="22"/>
      <c r="I152" s="73"/>
      <c r="J152" s="22"/>
      <c r="K152" s="22"/>
      <c r="L152" s="78"/>
      <c r="M152" s="22"/>
      <c r="N152" s="60"/>
      <c r="O152" s="59"/>
    </row>
    <row r="153" spans="1:15" ht="15">
      <c r="A153" s="7"/>
      <c r="B153" s="4" t="s">
        <v>16</v>
      </c>
      <c r="C153" s="22"/>
      <c r="D153" s="47">
        <f>88*C149/1165</f>
        <v>91.77682403433477</v>
      </c>
      <c r="E153" s="69">
        <f t="shared" si="13"/>
        <v>7000</v>
      </c>
      <c r="F153" s="2">
        <f t="shared" si="8"/>
        <v>2553165.783</v>
      </c>
      <c r="G153" s="21">
        <f t="shared" si="7"/>
        <v>234321.44679687553</v>
      </c>
      <c r="H153" s="22"/>
      <c r="I153" s="73"/>
      <c r="J153" s="22"/>
      <c r="K153" s="22"/>
      <c r="L153" s="78"/>
      <c r="M153" s="22"/>
      <c r="N153" s="60"/>
      <c r="O153" s="59"/>
    </row>
    <row r="154" spans="1:15" ht="15">
      <c r="A154" s="8" t="s">
        <v>44</v>
      </c>
      <c r="B154" s="4" t="s">
        <v>18</v>
      </c>
      <c r="C154" s="22"/>
      <c r="D154" s="47">
        <f>59*C149/1165</f>
        <v>61.532188841201716</v>
      </c>
      <c r="E154" s="69">
        <f t="shared" si="13"/>
        <v>7000</v>
      </c>
      <c r="F154" s="2">
        <f t="shared" si="8"/>
        <v>2560165.783</v>
      </c>
      <c r="G154" s="21">
        <f t="shared" si="7"/>
        <v>157532.60442433905</v>
      </c>
      <c r="H154" s="22"/>
      <c r="I154" s="73"/>
      <c r="J154" s="22"/>
      <c r="K154" s="22"/>
      <c r="L154" s="78"/>
      <c r="M154" s="22"/>
      <c r="N154" s="60"/>
      <c r="O154" s="59"/>
    </row>
    <row r="155" spans="1:15" ht="15">
      <c r="A155" s="7"/>
      <c r="B155" s="4" t="s">
        <v>19</v>
      </c>
      <c r="C155" s="22"/>
      <c r="D155" s="47">
        <f>46*C149/1165</f>
        <v>47.97424892703863</v>
      </c>
      <c r="E155" s="69">
        <f t="shared" si="13"/>
        <v>7000</v>
      </c>
      <c r="F155" s="2">
        <f t="shared" si="8"/>
        <v>2567165.783</v>
      </c>
      <c r="G155" s="21">
        <f t="shared" si="7"/>
        <v>123157.85031061803</v>
      </c>
      <c r="H155" s="22"/>
      <c r="I155" s="73"/>
      <c r="J155" s="22"/>
      <c r="K155" s="22"/>
      <c r="L155" s="78"/>
      <c r="M155" s="22"/>
      <c r="N155" s="60"/>
      <c r="O155" s="59"/>
    </row>
    <row r="156" spans="1:15" ht="15">
      <c r="A156" s="7"/>
      <c r="B156" s="4" t="s">
        <v>7</v>
      </c>
      <c r="C156" s="22"/>
      <c r="D156" s="47">
        <f>59*C149/1165</f>
        <v>61.532188841201716</v>
      </c>
      <c r="E156" s="69">
        <f t="shared" si="13"/>
        <v>7000</v>
      </c>
      <c r="F156" s="2">
        <f t="shared" si="8"/>
        <v>2574165.783</v>
      </c>
      <c r="G156" s="21">
        <f t="shared" si="7"/>
        <v>158394.05506811585</v>
      </c>
      <c r="H156" s="22"/>
      <c r="I156" s="73"/>
      <c r="J156" s="22"/>
      <c r="K156" s="22"/>
      <c r="L156" s="78"/>
      <c r="M156" s="22"/>
      <c r="N156" s="60"/>
      <c r="O156" s="59"/>
    </row>
    <row r="157" spans="1:15" ht="15">
      <c r="A157" s="7"/>
      <c r="B157" s="4" t="s">
        <v>8</v>
      </c>
      <c r="C157" s="22"/>
      <c r="D157" s="47">
        <f>75*C149/1165</f>
        <v>78.21888412017168</v>
      </c>
      <c r="E157" s="69">
        <f t="shared" si="13"/>
        <v>7000</v>
      </c>
      <c r="F157" s="2">
        <f t="shared" si="8"/>
        <v>2581165.783</v>
      </c>
      <c r="G157" s="21">
        <f aca="true" t="shared" si="14" ref="G157:G184">D157*F157/1000</f>
        <v>201895.9072754292</v>
      </c>
      <c r="H157" s="22"/>
      <c r="I157" s="73"/>
      <c r="J157" s="22"/>
      <c r="K157" s="22"/>
      <c r="L157" s="78"/>
      <c r="M157" s="22"/>
      <c r="N157" s="60"/>
      <c r="O157" s="59"/>
    </row>
    <row r="158" spans="1:15" ht="15">
      <c r="A158" s="7"/>
      <c r="B158" s="4" t="s">
        <v>9</v>
      </c>
      <c r="C158" s="22"/>
      <c r="D158" s="47">
        <f>103*C149/1165</f>
        <v>107.4206008583691</v>
      </c>
      <c r="E158" s="69">
        <f t="shared" si="13"/>
        <v>7000</v>
      </c>
      <c r="F158" s="2">
        <f aca="true" t="shared" si="15" ref="F158:F184">F157+E158</f>
        <v>2588165.783</v>
      </c>
      <c r="G158" s="21">
        <f t="shared" si="14"/>
        <v>278022.3235309313</v>
      </c>
      <c r="H158" s="22"/>
      <c r="I158" s="73"/>
      <c r="J158" s="22"/>
      <c r="K158" s="22"/>
      <c r="L158" s="78"/>
      <c r="M158" s="22"/>
      <c r="N158" s="60"/>
      <c r="O158" s="59"/>
    </row>
    <row r="159" spans="1:15" ht="15">
      <c r="A159" s="7"/>
      <c r="B159" s="4" t="s">
        <v>10</v>
      </c>
      <c r="C159" s="22"/>
      <c r="D159" s="47">
        <f>115*C149/1165</f>
        <v>119.93562231759657</v>
      </c>
      <c r="E159" s="69">
        <f t="shared" si="13"/>
        <v>7000</v>
      </c>
      <c r="F159" s="2">
        <f t="shared" si="15"/>
        <v>2595165.783</v>
      </c>
      <c r="G159" s="21">
        <f t="shared" si="14"/>
        <v>311252.8232014378</v>
      </c>
      <c r="H159" s="22"/>
      <c r="I159" s="73"/>
      <c r="J159" s="22"/>
      <c r="K159" s="22"/>
      <c r="L159" s="78"/>
      <c r="M159" s="22"/>
      <c r="N159" s="60"/>
      <c r="O159" s="59"/>
    </row>
    <row r="160" spans="1:15" ht="15">
      <c r="A160" s="9"/>
      <c r="B160" s="5" t="s">
        <v>11</v>
      </c>
      <c r="C160" s="49"/>
      <c r="D160" s="48">
        <f>128*C149/1165</f>
        <v>133.49356223175965</v>
      </c>
      <c r="E160" s="69">
        <f t="shared" si="13"/>
        <v>7000</v>
      </c>
      <c r="F160" s="23">
        <f t="shared" si="15"/>
        <v>2602165.783</v>
      </c>
      <c r="G160" s="24">
        <f t="shared" si="14"/>
        <v>347372.37989026605</v>
      </c>
      <c r="H160" s="24">
        <f>SUM(G149:G160)</f>
        <v>3112711.2503793347</v>
      </c>
      <c r="I160" s="74">
        <f>D20*1000</f>
        <v>3098100</v>
      </c>
      <c r="J160" s="24">
        <f>H160-I160</f>
        <v>14611.25037933467</v>
      </c>
      <c r="K160" s="24">
        <f>O148</f>
        <v>17368.35552954953</v>
      </c>
      <c r="L160" s="28">
        <f>H160+K160</f>
        <v>3130079.605908884</v>
      </c>
      <c r="M160" s="55">
        <f>L160/I160</f>
        <v>1.0103223284945237</v>
      </c>
      <c r="N160" s="61">
        <f>IF(I160&gt;L160,I160-L160,0)</f>
        <v>0</v>
      </c>
      <c r="O160" s="62">
        <f>IF((L160-I160)&gt;0,L160-I160,0)</f>
        <v>31979.6059088842</v>
      </c>
    </row>
    <row r="161" spans="1:15" ht="15">
      <c r="A161" s="6"/>
      <c r="B161" s="3" t="s">
        <v>12</v>
      </c>
      <c r="C161" s="50">
        <v>1215</v>
      </c>
      <c r="D161" s="46">
        <f>130*C161/1165</f>
        <v>135.57939914163092</v>
      </c>
      <c r="E161" s="70">
        <v>5500</v>
      </c>
      <c r="F161" s="19">
        <f t="shared" si="15"/>
        <v>2607665.783</v>
      </c>
      <c r="G161" s="20">
        <f t="shared" si="14"/>
        <v>353545.7600213305</v>
      </c>
      <c r="H161" s="25"/>
      <c r="I161" s="75"/>
      <c r="J161" s="25"/>
      <c r="K161" s="25"/>
      <c r="L161" s="77"/>
      <c r="M161" s="25"/>
      <c r="N161" s="60"/>
      <c r="O161" s="59"/>
    </row>
    <row r="162" spans="1:15" ht="15">
      <c r="A162" s="7"/>
      <c r="B162" s="4" t="s">
        <v>13</v>
      </c>
      <c r="C162" s="22"/>
      <c r="D162" s="47">
        <f>133*C161/1165</f>
        <v>138.70815450643778</v>
      </c>
      <c r="E162" s="69">
        <f>$E$161</f>
        <v>5500</v>
      </c>
      <c r="F162" s="2">
        <f t="shared" si="15"/>
        <v>2613165.783</v>
      </c>
      <c r="G162" s="21">
        <f t="shared" si="14"/>
        <v>362467.4031793004</v>
      </c>
      <c r="H162" s="22"/>
      <c r="I162" s="73"/>
      <c r="J162" s="22"/>
      <c r="K162" s="22"/>
      <c r="L162" s="78"/>
      <c r="M162" s="22"/>
      <c r="N162" s="60"/>
      <c r="O162" s="59"/>
    </row>
    <row r="163" spans="1:15" ht="15">
      <c r="A163" s="7"/>
      <c r="B163" s="4" t="s">
        <v>14</v>
      </c>
      <c r="C163" s="22"/>
      <c r="D163" s="47">
        <f>127*C161/1165</f>
        <v>132.45064377682402</v>
      </c>
      <c r="E163" s="69">
        <f aca="true" t="shared" si="16" ref="E163:E172">$E$161</f>
        <v>5500</v>
      </c>
      <c r="F163" s="2">
        <f t="shared" si="15"/>
        <v>2618665.783</v>
      </c>
      <c r="G163" s="21">
        <f t="shared" si="14"/>
        <v>346843.9687946909</v>
      </c>
      <c r="H163" s="22"/>
      <c r="I163" s="73"/>
      <c r="J163" s="22"/>
      <c r="K163" s="22"/>
      <c r="L163" s="78"/>
      <c r="M163" s="22"/>
      <c r="N163" s="60"/>
      <c r="O163" s="59"/>
    </row>
    <row r="164" spans="1:15" ht="15">
      <c r="A164" s="7"/>
      <c r="B164" s="4" t="s">
        <v>15</v>
      </c>
      <c r="C164" s="22"/>
      <c r="D164" s="47">
        <f>102*C161/1165</f>
        <v>106.37768240343348</v>
      </c>
      <c r="E164" s="69">
        <f t="shared" si="16"/>
        <v>5500</v>
      </c>
      <c r="F164" s="2">
        <f t="shared" si="15"/>
        <v>2624165.783</v>
      </c>
      <c r="G164" s="21">
        <f t="shared" si="14"/>
        <v>279152.6742379313</v>
      </c>
      <c r="H164" s="22"/>
      <c r="I164" s="73"/>
      <c r="J164" s="22"/>
      <c r="K164" s="22"/>
      <c r="L164" s="78"/>
      <c r="M164" s="22"/>
      <c r="N164" s="60"/>
      <c r="O164" s="59"/>
    </row>
    <row r="165" spans="1:15" ht="15">
      <c r="A165" s="7"/>
      <c r="B165" s="4" t="s">
        <v>16</v>
      </c>
      <c r="C165" s="22"/>
      <c r="D165" s="47">
        <f>88*C161/1165</f>
        <v>91.77682403433477</v>
      </c>
      <c r="E165" s="69">
        <f t="shared" si="16"/>
        <v>5500</v>
      </c>
      <c r="F165" s="2">
        <f t="shared" si="15"/>
        <v>2629665.783</v>
      </c>
      <c r="G165" s="21">
        <f t="shared" si="14"/>
        <v>241342.37383550213</v>
      </c>
      <c r="H165" s="22"/>
      <c r="I165" s="73"/>
      <c r="J165" s="22"/>
      <c r="K165" s="22"/>
      <c r="L165" s="78"/>
      <c r="M165" s="22"/>
      <c r="N165" s="60"/>
      <c r="O165" s="59"/>
    </row>
    <row r="166" spans="1:15" ht="15">
      <c r="A166" s="8" t="s">
        <v>45</v>
      </c>
      <c r="B166" s="4" t="s">
        <v>18</v>
      </c>
      <c r="C166" s="22"/>
      <c r="D166" s="47">
        <f>59*C161/1165</f>
        <v>61.532188841201716</v>
      </c>
      <c r="E166" s="69">
        <f t="shared" si="16"/>
        <v>5500</v>
      </c>
      <c r="F166" s="2">
        <f t="shared" si="15"/>
        <v>2635165.783</v>
      </c>
      <c r="G166" s="21">
        <f t="shared" si="14"/>
        <v>162147.51858742916</v>
      </c>
      <c r="H166" s="22"/>
      <c r="I166" s="73"/>
      <c r="J166" s="22"/>
      <c r="K166" s="22"/>
      <c r="L166" s="78"/>
      <c r="M166" s="22"/>
      <c r="N166" s="60"/>
      <c r="O166" s="59"/>
    </row>
    <row r="167" spans="1:15" ht="15">
      <c r="A167" s="7"/>
      <c r="B167" s="4" t="s">
        <v>19</v>
      </c>
      <c r="C167" s="22"/>
      <c r="D167" s="47">
        <f>46*C161/1165</f>
        <v>47.97424892703863</v>
      </c>
      <c r="E167" s="69">
        <f t="shared" si="16"/>
        <v>5500</v>
      </c>
      <c r="F167" s="2">
        <f t="shared" si="15"/>
        <v>2640665.783</v>
      </c>
      <c r="G167" s="21">
        <f t="shared" si="14"/>
        <v>126683.95760675536</v>
      </c>
      <c r="H167" s="22"/>
      <c r="I167" s="73"/>
      <c r="J167" s="22"/>
      <c r="K167" s="22"/>
      <c r="L167" s="78"/>
      <c r="M167" s="22"/>
      <c r="N167" s="60"/>
      <c r="O167" s="59"/>
    </row>
    <row r="168" spans="1:15" ht="15">
      <c r="A168" s="7"/>
      <c r="B168" s="4" t="s">
        <v>7</v>
      </c>
      <c r="C168" s="22"/>
      <c r="D168" s="47">
        <f>59*C161/1165</f>
        <v>61.532188841201716</v>
      </c>
      <c r="E168" s="69">
        <f t="shared" si="16"/>
        <v>5500</v>
      </c>
      <c r="F168" s="2">
        <f t="shared" si="15"/>
        <v>2646165.783</v>
      </c>
      <c r="G168" s="21">
        <f t="shared" si="14"/>
        <v>162824.3726646824</v>
      </c>
      <c r="H168" s="22"/>
      <c r="I168" s="73"/>
      <c r="J168" s="22"/>
      <c r="K168" s="22"/>
      <c r="L168" s="78"/>
      <c r="M168" s="22"/>
      <c r="N168" s="60"/>
      <c r="O168" s="59"/>
    </row>
    <row r="169" spans="1:15" ht="15">
      <c r="A169" s="7"/>
      <c r="B169" s="4" t="s">
        <v>8</v>
      </c>
      <c r="C169" s="22"/>
      <c r="D169" s="47">
        <f>75*C161/1165</f>
        <v>78.21888412017168</v>
      </c>
      <c r="E169" s="69">
        <f t="shared" si="16"/>
        <v>5500</v>
      </c>
      <c r="F169" s="2">
        <f t="shared" si="15"/>
        <v>2651665.783</v>
      </c>
      <c r="G169" s="21">
        <f t="shared" si="14"/>
        <v>207410.3386059013</v>
      </c>
      <c r="H169" s="22"/>
      <c r="I169" s="73"/>
      <c r="J169" s="22"/>
      <c r="K169" s="22"/>
      <c r="L169" s="78"/>
      <c r="M169" s="22"/>
      <c r="N169" s="60"/>
      <c r="O169" s="59"/>
    </row>
    <row r="170" spans="1:15" ht="15">
      <c r="A170" s="7"/>
      <c r="B170" s="4" t="s">
        <v>9</v>
      </c>
      <c r="C170" s="22"/>
      <c r="D170" s="47">
        <f>103*C161/1165</f>
        <v>107.4206008583691</v>
      </c>
      <c r="E170" s="69">
        <f t="shared" si="16"/>
        <v>5500</v>
      </c>
      <c r="F170" s="2">
        <f t="shared" si="15"/>
        <v>2657165.783</v>
      </c>
      <c r="G170" s="21">
        <f t="shared" si="14"/>
        <v>285434.3449901588</v>
      </c>
      <c r="H170" s="22"/>
      <c r="I170" s="73"/>
      <c r="J170" s="22"/>
      <c r="K170" s="22"/>
      <c r="L170" s="78"/>
      <c r="M170" s="22"/>
      <c r="N170" s="60"/>
      <c r="O170" s="59"/>
    </row>
    <row r="171" spans="1:15" ht="15">
      <c r="A171" s="7"/>
      <c r="B171" s="4" t="s">
        <v>10</v>
      </c>
      <c r="C171" s="22"/>
      <c r="D171" s="47">
        <f>115*C161/1165</f>
        <v>119.93562231759657</v>
      </c>
      <c r="E171" s="69">
        <f t="shared" si="16"/>
        <v>5500</v>
      </c>
      <c r="F171" s="2">
        <f t="shared" si="15"/>
        <v>2662665.783</v>
      </c>
      <c r="G171" s="21">
        <f t="shared" si="14"/>
        <v>319348.4777078755</v>
      </c>
      <c r="H171" s="22"/>
      <c r="I171" s="73"/>
      <c r="J171" s="22"/>
      <c r="K171" s="22"/>
      <c r="L171" s="78"/>
      <c r="M171" s="22"/>
      <c r="N171" s="60"/>
      <c r="O171" s="59"/>
    </row>
    <row r="172" spans="1:15" ht="15">
      <c r="A172" s="9"/>
      <c r="B172" s="5" t="s">
        <v>11</v>
      </c>
      <c r="C172" s="49"/>
      <c r="D172" s="48">
        <f>128*C161/1165</f>
        <v>133.49356223175965</v>
      </c>
      <c r="E172" s="69">
        <f t="shared" si="16"/>
        <v>5500</v>
      </c>
      <c r="F172" s="23">
        <f t="shared" si="15"/>
        <v>2668165.783</v>
      </c>
      <c r="G172" s="24">
        <f t="shared" si="14"/>
        <v>356182.9549975622</v>
      </c>
      <c r="H172" s="24">
        <f>SUM(G161:G172)</f>
        <v>3203384.1452291203</v>
      </c>
      <c r="I172" s="74">
        <f>D21*1000</f>
        <v>3215800</v>
      </c>
      <c r="J172" s="24">
        <f>H172-I172</f>
        <v>-12415.854770879727</v>
      </c>
      <c r="K172" s="24">
        <f>O160</f>
        <v>31979.6059088842</v>
      </c>
      <c r="L172" s="28">
        <f>H172+K172</f>
        <v>3235363.7511380045</v>
      </c>
      <c r="M172" s="55">
        <f>L172/I172</f>
        <v>1.0060836342863375</v>
      </c>
      <c r="N172" s="61">
        <f>IF(I172&gt;L172,I172-L172,0)</f>
        <v>0</v>
      </c>
      <c r="O172" s="62">
        <f>IF((L172-I172)&gt;0,L172-I172,0)</f>
        <v>19563.751138004474</v>
      </c>
    </row>
    <row r="173" spans="1:15" ht="15">
      <c r="A173" s="6"/>
      <c r="B173" s="3" t="s">
        <v>12</v>
      </c>
      <c r="C173" s="50">
        <v>1215</v>
      </c>
      <c r="D173" s="46">
        <f>130*C173/1165</f>
        <v>135.57939914163092</v>
      </c>
      <c r="E173" s="70">
        <v>4000</v>
      </c>
      <c r="F173" s="19">
        <f t="shared" si="15"/>
        <v>2672165.783</v>
      </c>
      <c r="G173" s="20">
        <f t="shared" si="14"/>
        <v>362290.6312659657</v>
      </c>
      <c r="H173" s="25"/>
      <c r="I173" s="75"/>
      <c r="J173" s="25"/>
      <c r="K173" s="25"/>
      <c r="L173" s="77"/>
      <c r="M173" s="25"/>
      <c r="N173" s="60"/>
      <c r="O173" s="59"/>
    </row>
    <row r="174" spans="1:15" ht="15">
      <c r="A174" s="7"/>
      <c r="B174" s="4" t="s">
        <v>13</v>
      </c>
      <c r="C174" s="22"/>
      <c r="D174" s="47">
        <f>133*C173/1165</f>
        <v>138.70815450643778</v>
      </c>
      <c r="E174" s="69">
        <f>$E$173</f>
        <v>4000</v>
      </c>
      <c r="F174" s="2">
        <f t="shared" si="15"/>
        <v>2676165.783</v>
      </c>
      <c r="G174" s="21">
        <f t="shared" si="14"/>
        <v>371206.016913206</v>
      </c>
      <c r="H174" s="22"/>
      <c r="I174" s="73"/>
      <c r="J174" s="22"/>
      <c r="K174" s="22"/>
      <c r="L174" s="78"/>
      <c r="M174" s="22"/>
      <c r="N174" s="60"/>
      <c r="O174" s="59"/>
    </row>
    <row r="175" spans="1:15" ht="15">
      <c r="A175" s="7"/>
      <c r="B175" s="4" t="s">
        <v>14</v>
      </c>
      <c r="C175" s="22"/>
      <c r="D175" s="47">
        <f>127*C173/1165</f>
        <v>132.45064377682402</v>
      </c>
      <c r="E175" s="69">
        <f aca="true" t="shared" si="17" ref="E175:E184">$E$173</f>
        <v>4000</v>
      </c>
      <c r="F175" s="2">
        <f t="shared" si="15"/>
        <v>2680165.783</v>
      </c>
      <c r="G175" s="21">
        <f t="shared" si="14"/>
        <v>354989.68338696565</v>
      </c>
      <c r="H175" s="22"/>
      <c r="I175" s="73"/>
      <c r="J175" s="22"/>
      <c r="K175" s="22"/>
      <c r="L175" s="78"/>
      <c r="M175" s="22"/>
      <c r="N175" s="60"/>
      <c r="O175" s="59"/>
    </row>
    <row r="176" spans="1:15" ht="15">
      <c r="A176" s="7"/>
      <c r="B176" s="4" t="s">
        <v>15</v>
      </c>
      <c r="C176" s="22"/>
      <c r="D176" s="47">
        <f>102*C173/1165</f>
        <v>106.37768240343348</v>
      </c>
      <c r="E176" s="69">
        <f t="shared" si="17"/>
        <v>4000</v>
      </c>
      <c r="F176" s="2">
        <f t="shared" si="15"/>
        <v>2684165.783</v>
      </c>
      <c r="G176" s="21">
        <f t="shared" si="14"/>
        <v>285535.3351821373</v>
      </c>
      <c r="H176" s="22"/>
      <c r="I176" s="73"/>
      <c r="J176" s="22"/>
      <c r="K176" s="22"/>
      <c r="L176" s="78"/>
      <c r="M176" s="22"/>
      <c r="N176" s="60"/>
      <c r="O176" s="59"/>
    </row>
    <row r="177" spans="1:15" ht="15">
      <c r="A177" s="7"/>
      <c r="B177" s="4" t="s">
        <v>16</v>
      </c>
      <c r="C177" s="22"/>
      <c r="D177" s="47">
        <f>88*C173/1165</f>
        <v>91.77682403433477</v>
      </c>
      <c r="E177" s="69">
        <f t="shared" si="17"/>
        <v>4000</v>
      </c>
      <c r="F177" s="2">
        <f t="shared" si="15"/>
        <v>2688165.783</v>
      </c>
      <c r="G177" s="21">
        <f t="shared" si="14"/>
        <v>246711.31804151073</v>
      </c>
      <c r="H177" s="22"/>
      <c r="I177" s="73"/>
      <c r="J177" s="22"/>
      <c r="K177" s="22"/>
      <c r="L177" s="78"/>
      <c r="M177" s="22"/>
      <c r="N177" s="60"/>
      <c r="O177" s="59"/>
    </row>
    <row r="178" spans="1:15" ht="15">
      <c r="A178" s="8" t="s">
        <v>46</v>
      </c>
      <c r="B178" s="4" t="s">
        <v>18</v>
      </c>
      <c r="C178" s="22"/>
      <c r="D178" s="47">
        <f>59*C173/1165</f>
        <v>61.532188841201716</v>
      </c>
      <c r="E178" s="69">
        <f t="shared" si="17"/>
        <v>4000</v>
      </c>
      <c r="F178" s="2">
        <f t="shared" si="15"/>
        <v>2692165.783</v>
      </c>
      <c r="G178" s="21">
        <f t="shared" si="14"/>
        <v>165654.85335137768</v>
      </c>
      <c r="H178" s="22"/>
      <c r="I178" s="73"/>
      <c r="J178" s="22"/>
      <c r="K178" s="22"/>
      <c r="L178" s="78"/>
      <c r="M178" s="22"/>
      <c r="N178" s="60"/>
      <c r="O178" s="59"/>
    </row>
    <row r="179" spans="1:15" ht="15">
      <c r="A179" s="7"/>
      <c r="B179" s="4" t="s">
        <v>19</v>
      </c>
      <c r="C179" s="22"/>
      <c r="D179" s="47">
        <f>46*C173/1165</f>
        <v>47.97424892703863</v>
      </c>
      <c r="E179" s="69">
        <f t="shared" si="17"/>
        <v>4000</v>
      </c>
      <c r="F179" s="2">
        <f t="shared" si="15"/>
        <v>2696165.783</v>
      </c>
      <c r="G179" s="21">
        <f t="shared" si="14"/>
        <v>129346.52842220601</v>
      </c>
      <c r="H179" s="22"/>
      <c r="I179" s="73"/>
      <c r="J179" s="22"/>
      <c r="K179" s="22"/>
      <c r="L179" s="78"/>
      <c r="M179" s="22"/>
      <c r="N179" s="60"/>
      <c r="O179" s="59"/>
    </row>
    <row r="180" spans="1:15" ht="15">
      <c r="A180" s="7"/>
      <c r="B180" s="4" t="s">
        <v>7</v>
      </c>
      <c r="C180" s="22"/>
      <c r="D180" s="47">
        <f>59*C173/1165</f>
        <v>61.532188841201716</v>
      </c>
      <c r="E180" s="69">
        <f t="shared" si="17"/>
        <v>4000</v>
      </c>
      <c r="F180" s="2">
        <f t="shared" si="15"/>
        <v>2700165.783</v>
      </c>
      <c r="G180" s="21">
        <f t="shared" si="14"/>
        <v>166147.11086210728</v>
      </c>
      <c r="H180" s="22"/>
      <c r="I180" s="73"/>
      <c r="J180" s="22"/>
      <c r="K180" s="22"/>
      <c r="L180" s="78"/>
      <c r="M180" s="22"/>
      <c r="N180" s="60"/>
      <c r="O180" s="59"/>
    </row>
    <row r="181" spans="1:15" ht="15">
      <c r="A181" s="7"/>
      <c r="B181" s="4" t="s">
        <v>8</v>
      </c>
      <c r="C181" s="22"/>
      <c r="D181" s="47">
        <f>75*C173/1165</f>
        <v>78.21888412017168</v>
      </c>
      <c r="E181" s="69">
        <f t="shared" si="17"/>
        <v>4000</v>
      </c>
      <c r="F181" s="2">
        <f t="shared" si="15"/>
        <v>2704165.783</v>
      </c>
      <c r="G181" s="21">
        <f t="shared" si="14"/>
        <v>211516.8300222103</v>
      </c>
      <c r="H181" s="22"/>
      <c r="I181" s="73"/>
      <c r="J181" s="22"/>
      <c r="K181" s="22"/>
      <c r="L181" s="78"/>
      <c r="M181" s="22"/>
      <c r="N181" s="60"/>
      <c r="O181" s="59"/>
    </row>
    <row r="182" spans="1:15" ht="15">
      <c r="A182" s="7"/>
      <c r="B182" s="4" t="s">
        <v>9</v>
      </c>
      <c r="C182" s="22"/>
      <c r="D182" s="47">
        <f>103*C173/1165</f>
        <v>107.4206008583691</v>
      </c>
      <c r="E182" s="69">
        <f t="shared" si="17"/>
        <v>4000</v>
      </c>
      <c r="F182" s="2">
        <f t="shared" si="15"/>
        <v>2708165.783</v>
      </c>
      <c r="G182" s="21">
        <f t="shared" si="14"/>
        <v>290912.7956339356</v>
      </c>
      <c r="H182" s="22"/>
      <c r="I182" s="73"/>
      <c r="J182" s="22"/>
      <c r="K182" s="22"/>
      <c r="L182" s="78"/>
      <c r="M182" s="22"/>
      <c r="N182" s="60"/>
      <c r="O182" s="59"/>
    </row>
    <row r="183" spans="1:15" ht="15">
      <c r="A183" s="7"/>
      <c r="B183" s="4" t="s">
        <v>10</v>
      </c>
      <c r="C183" s="22"/>
      <c r="D183" s="47">
        <f>115*C173/1165</f>
        <v>119.93562231759657</v>
      </c>
      <c r="E183" s="69">
        <f t="shared" si="17"/>
        <v>4000</v>
      </c>
      <c r="F183" s="2">
        <f t="shared" si="15"/>
        <v>2712165.783</v>
      </c>
      <c r="G183" s="21">
        <f t="shared" si="14"/>
        <v>325285.2910125966</v>
      </c>
      <c r="H183" s="22"/>
      <c r="I183" s="73"/>
      <c r="J183" s="22"/>
      <c r="K183" s="22"/>
      <c r="L183" s="78"/>
      <c r="M183" s="22"/>
      <c r="N183" s="60"/>
      <c r="O183" s="59"/>
    </row>
    <row r="184" spans="1:15" ht="15">
      <c r="A184" s="9"/>
      <c r="B184" s="5" t="s">
        <v>11</v>
      </c>
      <c r="C184" s="49"/>
      <c r="D184" s="48">
        <f>128*C173/1165</f>
        <v>133.49356223175965</v>
      </c>
      <c r="E184" s="69">
        <f t="shared" si="17"/>
        <v>4000</v>
      </c>
      <c r="F184" s="23">
        <f t="shared" si="15"/>
        <v>2716165.783</v>
      </c>
      <c r="G184" s="24">
        <f t="shared" si="14"/>
        <v>362590.6459846867</v>
      </c>
      <c r="H184" s="24">
        <f>SUM(G173:G184)</f>
        <v>3272187.0400789054</v>
      </c>
      <c r="I184" s="74">
        <f>D22*1000</f>
        <v>3336000</v>
      </c>
      <c r="J184" s="24">
        <f>H184-I184</f>
        <v>-63812.95992109459</v>
      </c>
      <c r="K184" s="24">
        <f>O172</f>
        <v>19563.751138004474</v>
      </c>
      <c r="L184" s="28">
        <f>H184+K184</f>
        <v>3291750.79121691</v>
      </c>
      <c r="M184" s="55">
        <f>L184/I184</f>
        <v>0.9867358486861241</v>
      </c>
      <c r="N184" s="61">
        <f>IF(I184&gt;L184,I184-L184,0)</f>
        <v>44249.208783090115</v>
      </c>
      <c r="O184" s="62">
        <f>IF((L184-I184)&gt;0,L184-I184,0)</f>
        <v>0</v>
      </c>
    </row>
    <row r="185" spans="5:15" ht="15">
      <c r="E185" s="80"/>
      <c r="I185" s="76"/>
      <c r="L185" s="79"/>
      <c r="N185" s="60"/>
      <c r="O185" s="60"/>
    </row>
    <row r="186" spans="5:15" ht="15">
      <c r="E186" s="72"/>
      <c r="I186" s="76"/>
      <c r="L186" s="79"/>
      <c r="N186" s="60"/>
      <c r="O186" s="60"/>
    </row>
    <row r="187" spans="5:15" ht="15">
      <c r="E187" s="72"/>
      <c r="N187" s="60"/>
      <c r="O187" s="60"/>
    </row>
    <row r="188" spans="5:15" ht="15">
      <c r="E188" s="72"/>
      <c r="N188" s="60"/>
      <c r="O188" s="60"/>
    </row>
    <row r="189" spans="5:15" ht="15">
      <c r="E189" s="72"/>
      <c r="N189" s="60"/>
      <c r="O189" s="60"/>
    </row>
    <row r="190" spans="5:15" ht="15">
      <c r="E190" s="72"/>
      <c r="N190" s="60"/>
      <c r="O190" s="60"/>
    </row>
    <row r="191" spans="5:15" ht="15">
      <c r="E191" s="72"/>
      <c r="N191" s="60"/>
      <c r="O191" s="60"/>
    </row>
    <row r="192" spans="5:15" ht="15">
      <c r="E192" s="72"/>
      <c r="N192" s="60"/>
      <c r="O192" s="60"/>
    </row>
    <row r="193" spans="5:15" ht="15">
      <c r="E193" s="72"/>
      <c r="N193" s="60"/>
      <c r="O193" s="60"/>
    </row>
    <row r="194" spans="5:15" ht="15">
      <c r="E194" s="72"/>
      <c r="N194" s="60"/>
      <c r="O194" s="60"/>
    </row>
    <row r="195" spans="5:15" ht="15">
      <c r="E195" s="72"/>
      <c r="N195" s="60"/>
      <c r="O195" s="60"/>
    </row>
    <row r="196" spans="5:15" ht="15">
      <c r="E196" s="72"/>
      <c r="N196" s="60"/>
      <c r="O196" s="60"/>
    </row>
    <row r="197" spans="5:15" ht="15">
      <c r="E197" s="72"/>
      <c r="N197" s="60"/>
      <c r="O197" s="60"/>
    </row>
    <row r="198" spans="5:15" ht="15">
      <c r="E198" s="72"/>
      <c r="N198" s="60"/>
      <c r="O198" s="60"/>
    </row>
    <row r="199" spans="5:15" ht="15">
      <c r="E199" s="72"/>
      <c r="N199" s="60"/>
      <c r="O199" s="60"/>
    </row>
    <row r="200" spans="5:15" ht="15">
      <c r="E200" s="72"/>
      <c r="N200" s="60"/>
      <c r="O200" s="60"/>
    </row>
    <row r="201" spans="5:15" ht="15">
      <c r="E201" s="72"/>
      <c r="N201" s="60"/>
      <c r="O201" s="60"/>
    </row>
    <row r="202" spans="5:15" ht="15">
      <c r="E202" s="72"/>
      <c r="N202" s="60"/>
      <c r="O202" s="60"/>
    </row>
    <row r="203" spans="5:15" ht="15">
      <c r="E203" s="72"/>
      <c r="N203" s="60"/>
      <c r="O203" s="60"/>
    </row>
    <row r="204" spans="5:15" ht="15">
      <c r="E204" s="72"/>
      <c r="N204" s="60"/>
      <c r="O204" s="60"/>
    </row>
    <row r="205" spans="5:15" ht="15">
      <c r="E205" s="72"/>
      <c r="N205" s="60"/>
      <c r="O205" s="60"/>
    </row>
    <row r="206" spans="5:15" ht="15">
      <c r="E206" s="72"/>
      <c r="N206" s="60"/>
      <c r="O206" s="60"/>
    </row>
    <row r="207" spans="5:15" ht="15">
      <c r="E207" s="72"/>
      <c r="N207" s="60"/>
      <c r="O207" s="60"/>
    </row>
    <row r="208" spans="14:15" ht="15">
      <c r="N208" s="60"/>
      <c r="O208" s="60"/>
    </row>
    <row r="209" spans="14:15" ht="15">
      <c r="N209" s="60"/>
      <c r="O209" s="60"/>
    </row>
    <row r="210" spans="14:15" ht="15">
      <c r="N210" s="56"/>
      <c r="O210" s="56"/>
    </row>
    <row r="211" spans="14:15" ht="15">
      <c r="N211" s="56"/>
      <c r="O211" s="56"/>
    </row>
    <row r="212" spans="14:15" ht="15">
      <c r="N212" s="56"/>
      <c r="O212" s="56"/>
    </row>
    <row r="213" spans="14:15" ht="15">
      <c r="N213" s="56"/>
      <c r="O213" s="56"/>
    </row>
    <row r="214" spans="14:15" ht="15">
      <c r="N214" s="56"/>
      <c r="O214" s="56"/>
    </row>
    <row r="215" spans="14:15" ht="15">
      <c r="N215" s="56"/>
      <c r="O215" s="56"/>
    </row>
    <row r="216" spans="14:15" ht="15">
      <c r="N216" s="56"/>
      <c r="O216" s="56"/>
    </row>
    <row r="217" spans="14:15" ht="15">
      <c r="N217" s="56"/>
      <c r="O217" s="56"/>
    </row>
    <row r="218" spans="14:15" ht="15">
      <c r="N218" s="56"/>
      <c r="O218" s="56"/>
    </row>
    <row r="219" spans="14:15" ht="15">
      <c r="N219" s="56"/>
      <c r="O219" s="56"/>
    </row>
    <row r="220" spans="14:15" ht="15">
      <c r="N220" s="56"/>
      <c r="O220" s="56"/>
    </row>
    <row r="221" spans="14:15" ht="15">
      <c r="N221" s="56"/>
      <c r="O221" s="56"/>
    </row>
    <row r="222" spans="14:15" ht="15">
      <c r="N222" s="56"/>
      <c r="O222" s="56"/>
    </row>
    <row r="223" spans="14:15" ht="15">
      <c r="N223" s="56"/>
      <c r="O223" s="56"/>
    </row>
    <row r="224" spans="14:15" ht="15">
      <c r="N224" s="56"/>
      <c r="O224" s="56"/>
    </row>
    <row r="225" ht="15">
      <c r="N225" s="56"/>
    </row>
    <row r="226" ht="15">
      <c r="N226" s="56"/>
    </row>
    <row r="227" ht="15">
      <c r="N227" s="56"/>
    </row>
    <row r="228" ht="15">
      <c r="N228" s="56"/>
    </row>
    <row r="229" ht="15">
      <c r="N229" s="56"/>
    </row>
    <row r="230" ht="15">
      <c r="N230" s="56"/>
    </row>
    <row r="231" ht="15">
      <c r="N231" s="56"/>
    </row>
    <row r="232" ht="15">
      <c r="N232" s="56"/>
    </row>
    <row r="233" ht="15">
      <c r="N233" s="56"/>
    </row>
    <row r="234" ht="15">
      <c r="N234" s="5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11.57421875" style="0" customWidth="1"/>
    <col min="2" max="2" width="10.28125" style="0" customWidth="1"/>
    <col min="3" max="3" width="13.28125" style="0" customWidth="1"/>
    <col min="4" max="4" width="11.28125" style="0" customWidth="1"/>
    <col min="5" max="5" width="11.7109375" style="0" customWidth="1"/>
    <col min="12" max="12" width="9.421875" style="0" bestFit="1" customWidth="1"/>
  </cols>
  <sheetData>
    <row r="1" spans="1:10" ht="15.75">
      <c r="A1" s="39" t="str">
        <f>'Model "Case A"'!A1</f>
        <v>Mid-Atlantic Solar Energy Industries Association</v>
      </c>
      <c r="J1" s="81" t="str">
        <f>'Model "Case A"'!J1</f>
        <v>copyright 4-6-12 Lyle Rawlings</v>
      </c>
    </row>
    <row r="2" spans="1:12" ht="15.75">
      <c r="A2" s="39" t="str">
        <f>'Model "Case A"'!A2</f>
        <v>NJ SREC Supply vs. Demand Calculations by Month Based on User Input</v>
      </c>
      <c r="J2" s="81" t="str">
        <f>'Model "Case A"'!J2</f>
        <v>Rev date</v>
      </c>
      <c r="K2" s="81"/>
      <c r="L2" s="87">
        <v>41653</v>
      </c>
    </row>
    <row r="3" spans="1:12" ht="15.75">
      <c r="A3" s="39"/>
      <c r="J3" s="81"/>
      <c r="K3" s="81"/>
      <c r="L3" s="81"/>
    </row>
    <row r="4" spans="1:12" ht="15.75">
      <c r="A4" s="39"/>
      <c r="J4" s="81"/>
      <c r="K4" s="81"/>
      <c r="L4" s="81"/>
    </row>
    <row r="5" ht="15.75">
      <c r="A5" s="82" t="s">
        <v>59</v>
      </c>
    </row>
    <row r="6" spans="1:6" ht="39">
      <c r="A6" s="14" t="s">
        <v>0</v>
      </c>
      <c r="B6" s="14" t="s">
        <v>57</v>
      </c>
      <c r="C6" s="14" t="s">
        <v>55</v>
      </c>
      <c r="D6" s="14" t="s">
        <v>56</v>
      </c>
      <c r="E6" s="14" t="s">
        <v>47</v>
      </c>
      <c r="F6" s="57" t="s">
        <v>60</v>
      </c>
    </row>
    <row r="7" spans="1:6" ht="15">
      <c r="A7" s="13">
        <v>2012</v>
      </c>
      <c r="B7" s="83">
        <f>SUM('Model "Case B"'!E29:E40)/1000</f>
        <v>463.2957969999999</v>
      </c>
      <c r="C7" s="83">
        <f>'Model "Case B"'!I40</f>
        <v>442000</v>
      </c>
      <c r="D7" s="83">
        <f>'Model "Case B"'!H40</f>
        <v>704686.4667701145</v>
      </c>
      <c r="E7" s="83">
        <f>'Model "Case B"'!K40</f>
        <v>0</v>
      </c>
      <c r="F7" s="84"/>
    </row>
    <row r="8" spans="1:6" ht="15">
      <c r="A8" s="13">
        <f aca="true" t="shared" si="0" ref="A8:A19">1+A7</f>
        <v>2013</v>
      </c>
      <c r="B8" s="83">
        <f>SUM('Model "Case B"'!E41:E52)/1000</f>
        <v>295.7156</v>
      </c>
      <c r="C8" s="83">
        <f>'Model "Case B"'!I52</f>
        <v>596000</v>
      </c>
      <c r="D8" s="83">
        <f>'Model "Case B"'!H52</f>
        <v>1151472.5367502144</v>
      </c>
      <c r="E8" s="83">
        <f>'Model "Case B"'!K52</f>
        <v>262686.4667701145</v>
      </c>
      <c r="F8" s="84"/>
    </row>
    <row r="9" spans="1:6" ht="15">
      <c r="A9" s="13">
        <f t="shared" si="0"/>
        <v>2014</v>
      </c>
      <c r="B9" s="83">
        <f>SUM('Model "Case B"'!E53:E64)/1000</f>
        <v>171.6132</v>
      </c>
      <c r="C9" s="83">
        <f>'Model "Case B"'!I64</f>
        <v>1616500</v>
      </c>
      <c r="D9" s="83">
        <f>'Model "Case B"'!H64</f>
        <v>1423949.739955343</v>
      </c>
      <c r="E9" s="83">
        <f>'Model "Case B"'!K64</f>
        <v>818159.003520329</v>
      </c>
      <c r="F9" s="84"/>
    </row>
    <row r="10" spans="1:6" ht="15">
      <c r="A10" s="13">
        <f t="shared" si="0"/>
        <v>2015</v>
      </c>
      <c r="B10" s="83">
        <f>SUM('Model "Case B"'!E65:E76)/1000</f>
        <v>204</v>
      </c>
      <c r="C10" s="83">
        <f>'Model "Case B"'!I76</f>
        <v>1955900</v>
      </c>
      <c r="D10" s="83">
        <f>'Model "Case B"'!H76</f>
        <v>1665423.3699621886</v>
      </c>
      <c r="E10" s="83">
        <f>'Model "Case B"'!K76</f>
        <v>625608.7434756719</v>
      </c>
      <c r="F10" s="84"/>
    </row>
    <row r="11" spans="1:6" ht="15">
      <c r="A11" s="13">
        <f t="shared" si="0"/>
        <v>2016</v>
      </c>
      <c r="B11" s="83">
        <f>SUM('Model "Case B"'!E77:E88)/1000</f>
        <v>204</v>
      </c>
      <c r="C11" s="83">
        <f>'Model "Case B"'!I88</f>
        <v>2222600</v>
      </c>
      <c r="D11" s="83">
        <f>'Model "Case B"'!H88</f>
        <v>1920165.2847140983</v>
      </c>
      <c r="E11" s="83">
        <f>'Model "Case B"'!K88</f>
        <v>335132.1134378603</v>
      </c>
      <c r="F11" s="84"/>
    </row>
    <row r="12" spans="1:6" ht="15">
      <c r="A12" s="13">
        <f t="shared" si="0"/>
        <v>2017</v>
      </c>
      <c r="B12" s="83">
        <f>SUM('Model "Case B"'!E89:E100)/1000</f>
        <v>240</v>
      </c>
      <c r="C12" s="83">
        <f>'Model "Case B"'!I100</f>
        <v>2454700</v>
      </c>
      <c r="D12" s="83">
        <f>'Model "Case B"'!H100</f>
        <v>2190799.495014528</v>
      </c>
      <c r="E12" s="83">
        <f>'Model "Case B"'!K100</f>
        <v>32697.39815195836</v>
      </c>
      <c r="F12" s="84"/>
    </row>
    <row r="13" spans="1:6" ht="15">
      <c r="A13" s="13">
        <f t="shared" si="0"/>
        <v>2018</v>
      </c>
      <c r="B13" s="83">
        <f>SUM('Model "Case B"'!E101:E112)/1000</f>
        <v>204</v>
      </c>
      <c r="C13" s="83">
        <f>'Model "Case B"'!I112</f>
        <v>2650900</v>
      </c>
      <c r="D13" s="83">
        <f>'Model "Case B"'!H112</f>
        <v>2459625.2847140986</v>
      </c>
      <c r="E13" s="83">
        <f>'Model "Case B"'!K112</f>
        <v>0</v>
      </c>
      <c r="F13" s="85">
        <f>C13-D13</f>
        <v>191274.71528590145</v>
      </c>
    </row>
    <row r="14" spans="1:6" ht="15">
      <c r="A14" s="13">
        <f t="shared" si="0"/>
        <v>2019</v>
      </c>
      <c r="B14" s="83">
        <f>SUM('Model "Case B"'!E113:E124)/1000</f>
        <v>168</v>
      </c>
      <c r="C14" s="83">
        <f>'Model "Case B"'!I124</f>
        <v>2759200</v>
      </c>
      <c r="D14" s="83">
        <f>'Model "Case B"'!H124</f>
        <v>2684711.0744136693</v>
      </c>
      <c r="E14" s="83">
        <f>'Model "Case B"'!K124</f>
        <v>0</v>
      </c>
      <c r="F14" s="85">
        <f>C14-D14</f>
        <v>74488.9255863307</v>
      </c>
    </row>
    <row r="15" spans="1:6" ht="15">
      <c r="A15" s="13">
        <f t="shared" si="0"/>
        <v>2020</v>
      </c>
      <c r="B15" s="83">
        <f>SUM('Model "Case B"'!E125:E136)/1000</f>
        <v>126</v>
      </c>
      <c r="C15" s="83">
        <f>'Model "Case B"'!I136</f>
        <v>2869800</v>
      </c>
      <c r="D15" s="83">
        <f>'Model "Case B"'!H136</f>
        <v>2862261.1623965017</v>
      </c>
      <c r="E15" s="83">
        <f>'Model "Case B"'!K136</f>
        <v>0</v>
      </c>
      <c r="F15" s="85">
        <f>C15-D15</f>
        <v>7538.83760349825</v>
      </c>
    </row>
    <row r="16" spans="1:6" ht="15">
      <c r="A16" s="13">
        <f t="shared" si="0"/>
        <v>2021</v>
      </c>
      <c r="B16" s="83">
        <f>SUM('Model "Case B"'!E137:E148)/1000</f>
        <v>102</v>
      </c>
      <c r="C16" s="83">
        <f>'Model "Case B"'!I148</f>
        <v>2982800</v>
      </c>
      <c r="D16" s="83">
        <f>'Model "Case B"'!H148</f>
        <v>3000168.3555295495</v>
      </c>
      <c r="E16" s="83">
        <f>'Model "Case B"'!K148</f>
        <v>0</v>
      </c>
      <c r="F16" s="85"/>
    </row>
    <row r="17" spans="1:6" ht="15">
      <c r="A17" s="13">
        <f t="shared" si="0"/>
        <v>2022</v>
      </c>
      <c r="B17" s="83">
        <f>SUM('Model "Case B"'!E149:E160)/1000</f>
        <v>84</v>
      </c>
      <c r="C17" s="83">
        <f>'Model "Case B"'!I160</f>
        <v>3098100</v>
      </c>
      <c r="D17" s="83">
        <f>'Model "Case B"'!H160</f>
        <v>3112711.2503793347</v>
      </c>
      <c r="E17" s="83">
        <f>'Model "Case B"'!K160</f>
        <v>17368.35552954953</v>
      </c>
      <c r="F17" s="84"/>
    </row>
    <row r="18" spans="1:6" ht="15">
      <c r="A18" s="13">
        <f t="shared" si="0"/>
        <v>2023</v>
      </c>
      <c r="B18" s="83">
        <f>SUM('Model "Case B"'!E161:E172)/1000</f>
        <v>66</v>
      </c>
      <c r="C18" s="83">
        <f>'Model "Case B"'!I172</f>
        <v>3215800</v>
      </c>
      <c r="D18" s="83">
        <f>'Model "Case B"'!H172</f>
        <v>3203384.1452291203</v>
      </c>
      <c r="E18" s="83">
        <f>'Model "Case B"'!K172</f>
        <v>31979.6059088842</v>
      </c>
      <c r="F18" s="84"/>
    </row>
    <row r="19" spans="1:6" ht="15">
      <c r="A19" s="13">
        <f t="shared" si="0"/>
        <v>2024</v>
      </c>
      <c r="B19" s="83">
        <f>SUM('Model "Case B"'!E173:E184)/1000</f>
        <v>48</v>
      </c>
      <c r="C19" s="83">
        <f>'Model "Case B"'!I184</f>
        <v>3336000</v>
      </c>
      <c r="D19" s="83">
        <f>'Model "Case B"'!H184</f>
        <v>3272187.0400789054</v>
      </c>
      <c r="E19" s="83">
        <f>'Model "Case B"'!K184</f>
        <v>19563.751138004474</v>
      </c>
      <c r="F19" s="84"/>
    </row>
    <row r="20" ht="15">
      <c r="B20" s="76"/>
    </row>
    <row r="31" spans="2:5" ht="15">
      <c r="B31" s="76"/>
      <c r="C31" s="76"/>
      <c r="D31" s="76"/>
      <c r="E31" s="76"/>
    </row>
    <row r="64" spans="2:5" ht="15">
      <c r="B64" s="76"/>
      <c r="C64" s="76"/>
      <c r="D64" s="76"/>
      <c r="E64" s="76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Lyle</dc:creator>
  <cp:keywords/>
  <dc:description/>
  <cp:lastModifiedBy>Marianne 1013</cp:lastModifiedBy>
  <dcterms:created xsi:type="dcterms:W3CDTF">2012-05-09T22:41:17Z</dcterms:created>
  <dcterms:modified xsi:type="dcterms:W3CDTF">2014-01-29T21:22:17Z</dcterms:modified>
  <cp:category/>
  <cp:version/>
  <cp:contentType/>
  <cp:contentStatus/>
</cp:coreProperties>
</file>